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260" windowHeight="3855" tabRatio="414" activeTab="0"/>
  </bookViews>
  <sheets>
    <sheet name="General Fund" sheetId="1" r:id="rId1"/>
  </sheets>
  <definedNames>
    <definedName name="_xlnm.Print_Area" localSheetId="0">'General Fund'!$A$1:$F$504</definedName>
    <definedName name="_xlnm.Print_Titles" localSheetId="0">'General Fund'!$1:$6</definedName>
  </definedNames>
  <calcPr fullCalcOnLoad="1"/>
</workbook>
</file>

<file path=xl/sharedStrings.xml><?xml version="1.0" encoding="utf-8"?>
<sst xmlns="http://schemas.openxmlformats.org/spreadsheetml/2006/main" count="954" uniqueCount="258">
  <si>
    <t>Miscellaneous</t>
  </si>
  <si>
    <t>Personnel Salary</t>
  </si>
  <si>
    <t xml:space="preserve">Secretary/Clerical Salary  &amp; Wages </t>
  </si>
  <si>
    <t>Waste and Trash</t>
  </si>
  <si>
    <t>Security Services</t>
  </si>
  <si>
    <t xml:space="preserve"> </t>
  </si>
  <si>
    <t>Object</t>
  </si>
  <si>
    <t>Description</t>
  </si>
  <si>
    <t xml:space="preserve">          Earnings on Investments</t>
  </si>
  <si>
    <t xml:space="preserve">      Revenue From State Sources</t>
  </si>
  <si>
    <t xml:space="preserve">          State Aid</t>
  </si>
  <si>
    <t xml:space="preserve">      Revenue From Federal Sources</t>
  </si>
  <si>
    <t>Total Revenue &amp; Other Transactions</t>
  </si>
  <si>
    <t>Instructional Expenditures</t>
  </si>
  <si>
    <t>Teacher Salaries</t>
  </si>
  <si>
    <t>Group Health &amp; Accident Insurance</t>
  </si>
  <si>
    <t>Contributions to Retirement</t>
  </si>
  <si>
    <t>Social Security (7.65%)</t>
  </si>
  <si>
    <t>Worker's Compensation</t>
  </si>
  <si>
    <t>Unemployment Compensation</t>
  </si>
  <si>
    <t>Workshops and Conferences</t>
  </si>
  <si>
    <t>Printing and Binding</t>
  </si>
  <si>
    <t>Teaching Supplies</t>
  </si>
  <si>
    <t>Textbooks</t>
  </si>
  <si>
    <t>Library Books</t>
  </si>
  <si>
    <t>Capital Outlay - Equipment &amp; Furniture</t>
  </si>
  <si>
    <t>Dues/Memberships</t>
  </si>
  <si>
    <t>Subtotal</t>
  </si>
  <si>
    <t>Psychological Services</t>
  </si>
  <si>
    <t xml:space="preserve">Speech Pathology and Audiology </t>
  </si>
  <si>
    <t xml:space="preserve">      Instructional Staff</t>
  </si>
  <si>
    <t>Attorney</t>
  </si>
  <si>
    <t>Audit</t>
  </si>
  <si>
    <t>Workshop and Conference</t>
  </si>
  <si>
    <t>Purchased Management Services</t>
  </si>
  <si>
    <t>Office Supplies</t>
  </si>
  <si>
    <t>Advertising</t>
  </si>
  <si>
    <t xml:space="preserve">      School Administration</t>
  </si>
  <si>
    <t>Principal Salary</t>
  </si>
  <si>
    <t xml:space="preserve">      Business Support Services</t>
  </si>
  <si>
    <t xml:space="preserve">      Operations &amp; Maintenance</t>
  </si>
  <si>
    <t>Telephone</t>
  </si>
  <si>
    <t>Heat</t>
  </si>
  <si>
    <t>Electric</t>
  </si>
  <si>
    <t>Building Maintenance &amp; Repair</t>
  </si>
  <si>
    <t>Outgoing Transfers &amp; Other Transactions</t>
  </si>
  <si>
    <t xml:space="preserve">Revenues and Other Financing Sources Over </t>
  </si>
  <si>
    <t>(Under) Expenditures and Other Uses</t>
  </si>
  <si>
    <t>Added Needs</t>
  </si>
  <si>
    <t>Detroit Academy of Arts and Sciences</t>
  </si>
  <si>
    <t xml:space="preserve">          At-Risk</t>
  </si>
  <si>
    <t>Purchased Instruction Services</t>
  </si>
  <si>
    <t>Consultants</t>
  </si>
  <si>
    <t>Health Services (Nurse)</t>
  </si>
  <si>
    <t>Library (LMS)</t>
  </si>
  <si>
    <t>Supplies / Other Purchased Services</t>
  </si>
  <si>
    <t>Security / Facilities Coordinator</t>
  </si>
  <si>
    <t>Accounting</t>
  </si>
  <si>
    <t xml:space="preserve">          Restricted - Federal 'Pass-Thru' Grants-USDA Lunch Program</t>
  </si>
  <si>
    <t>Rentals</t>
  </si>
  <si>
    <t>Water and Sewer</t>
  </si>
  <si>
    <t xml:space="preserve">          Restricted - Federal 'Pass-Thru' Grants-Fed Source Title I-Carryover</t>
  </si>
  <si>
    <t>Capital Outlay - Improvement</t>
  </si>
  <si>
    <t>Budget</t>
  </si>
  <si>
    <t>Group Life Insurance</t>
  </si>
  <si>
    <t>Group Disability Insurance</t>
  </si>
  <si>
    <t>Purchased Instructional Services - Substitute Services</t>
  </si>
  <si>
    <t>Miscellaneous Supplies and Materials</t>
  </si>
  <si>
    <t>Other Supplies and Materials</t>
  </si>
  <si>
    <t>Other Professional and Technical Services</t>
  </si>
  <si>
    <t>Cellular Phone</t>
  </si>
  <si>
    <t>Mailing</t>
  </si>
  <si>
    <t>Revenues over (under) expenditures</t>
  </si>
  <si>
    <t>Security Contract - Contractual Services</t>
  </si>
  <si>
    <t>Teaching Supplies IDEA Carryforward)</t>
  </si>
  <si>
    <t>WCRESA IDEA - Carryforward</t>
  </si>
  <si>
    <t>Purchased Services (SES-Carryforward)</t>
  </si>
  <si>
    <t>Teaching Supplies - Title IID Carryover</t>
  </si>
  <si>
    <t>Teaching Supplies - IDEA - Current Year</t>
  </si>
  <si>
    <t>Workshops and Conferences (IDEA Current Year)</t>
  </si>
  <si>
    <t>Computer Assisted Instruction (UST)</t>
  </si>
  <si>
    <t>Secretary/Clerical Salary  &amp; Wages</t>
  </si>
  <si>
    <t>School Service - Food Service Subsidy of payroll</t>
  </si>
  <si>
    <t>Fd</t>
  </si>
  <si>
    <t>Func</t>
  </si>
  <si>
    <t>Consultant Services - Personnel</t>
  </si>
  <si>
    <t>Guidance Counselors</t>
  </si>
  <si>
    <t>Summer School - Teaching</t>
  </si>
  <si>
    <t>Guidance Services (Counselors, Dean of Students, Student Support Managers)</t>
  </si>
  <si>
    <t>Other Professional Educational - Tutors</t>
  </si>
  <si>
    <t>Community Activities</t>
  </si>
  <si>
    <t>Workshops and Conferences (Title I Parent Component)</t>
  </si>
  <si>
    <t>Information Management</t>
  </si>
  <si>
    <t>Support Services Central</t>
  </si>
  <si>
    <t>Pupil Accounting (SIM)</t>
  </si>
  <si>
    <t>Nursing</t>
  </si>
  <si>
    <t>Social Workers</t>
  </si>
  <si>
    <t>Vehicle/Bus Rentals (Field Trips)</t>
  </si>
  <si>
    <t>Other Technical</t>
  </si>
  <si>
    <t>Educational Media Specialist</t>
  </si>
  <si>
    <t>Academic Student Assessment</t>
  </si>
  <si>
    <t>Department Direction</t>
  </si>
  <si>
    <t>Management Services</t>
  </si>
  <si>
    <t>Oakland Oversight Fee (3% of Total State Aid)</t>
  </si>
  <si>
    <t xml:space="preserve">Purchased Services </t>
  </si>
  <si>
    <t>Purchased Services-Maintenance contract/Grounds</t>
  </si>
  <si>
    <t>Transfer to Debt Service - Interest/Principal on Debt</t>
  </si>
  <si>
    <t>Building and Liability Insurance</t>
  </si>
  <si>
    <t xml:space="preserve">Operational Cost Payment to Rock Property </t>
  </si>
  <si>
    <t>Other Operation and Service - Maintenance</t>
  </si>
  <si>
    <t>Management Information Systems (C4SI)</t>
  </si>
  <si>
    <t>Reserve Fund Payments</t>
  </si>
  <si>
    <t>REVENUE</t>
  </si>
  <si>
    <t>EXPENDITURES</t>
  </si>
  <si>
    <t>INSTRUCTIONAL EXPENDITURES</t>
  </si>
  <si>
    <t>SPECIAL EDUCATION</t>
  </si>
  <si>
    <t>COMPENSATORY EDUCATION</t>
  </si>
  <si>
    <t>HEALTH SERVICES (NURSE)</t>
  </si>
  <si>
    <t>PSYCHOLOGICAL SERVICES</t>
  </si>
  <si>
    <t>SPEECH PATHOLOGY AUDIOLOGY</t>
  </si>
  <si>
    <t>IMPROVEMENT OF INSTRUCTION</t>
  </si>
  <si>
    <t>LIBRARY (LMS)</t>
  </si>
  <si>
    <t>GENERAL ADMINISTRATION - BOARD OF EDUCATION</t>
  </si>
  <si>
    <t>GENERAL ADMINSTRATION EXECUTIVE ADMINISTRATION</t>
  </si>
  <si>
    <t>SCHOOL ADMINISTRATION</t>
  </si>
  <si>
    <t>BUSINESS SUPPORT SERVICES</t>
  </si>
  <si>
    <t>OPERATIONS &amp; MAINTENANCE</t>
  </si>
  <si>
    <t>SECURITY SERVICES</t>
  </si>
  <si>
    <t>PERSONNEL SERVICES</t>
  </si>
  <si>
    <t>SUPPORT SERVICES - CENTRAL TECHNOLOGY</t>
  </si>
  <si>
    <t xml:space="preserve">SUPPORT SERVICES - CENTRAL </t>
  </si>
  <si>
    <t>General  Fund</t>
  </si>
  <si>
    <t>Executive Administration</t>
  </si>
  <si>
    <t>PUPIL SUPPORT SERVICES</t>
  </si>
  <si>
    <t>Total Salaries &amp; Benefits for Elementary Education</t>
  </si>
  <si>
    <t>Total Salaries &amp; Benefits for Middle School  Education</t>
  </si>
  <si>
    <t>Total Salaries &amp; Benefits for High School  Education</t>
  </si>
  <si>
    <t>Total Salaries &amp; Benefits for Summer School</t>
  </si>
  <si>
    <t>Miscellaneous Supplies &amp; Materials</t>
  </si>
  <si>
    <t>Pupil</t>
  </si>
  <si>
    <t>COMMUNITY ACTIVITIES</t>
  </si>
  <si>
    <t>Subtotal Community Activities</t>
  </si>
  <si>
    <t>Subtotal Support Services Central</t>
  </si>
  <si>
    <t>Subtotal Support Services Central - Technology</t>
  </si>
  <si>
    <t>Subtotal Personnel Services</t>
  </si>
  <si>
    <t>Subtotal Operations &amp; Maintenance</t>
  </si>
  <si>
    <t>Subtotal Business Support Services</t>
  </si>
  <si>
    <t>Subtotal School Administration</t>
  </si>
  <si>
    <t>Subtotal General &amp; Executive Administration</t>
  </si>
  <si>
    <t>Subtotal Improvement of Instruction</t>
  </si>
  <si>
    <t xml:space="preserve">Subtotal Pupil Support Services </t>
  </si>
  <si>
    <t>Subtotal Added Needs</t>
  </si>
  <si>
    <t>Subtotal Instructional Expenditures</t>
  </si>
  <si>
    <t>Subtotal General Administration Board of Education</t>
  </si>
  <si>
    <t>TOTAL EXPENDITURES AND OTHER TRANSACTIONS</t>
  </si>
  <si>
    <t>Incentive for Highly Qualified Administrators</t>
  </si>
  <si>
    <t>Other Professional and Technical Services (WCRESA)</t>
  </si>
  <si>
    <t>Miscellaneous Supplies</t>
  </si>
  <si>
    <t>Miscellaneous Communication Services - Internet Access</t>
  </si>
  <si>
    <t>Other Purchased Services</t>
  </si>
  <si>
    <t>Teaching/Testing Supplies</t>
  </si>
  <si>
    <t>Equipment (Title IIA)</t>
  </si>
  <si>
    <t xml:space="preserve">Revenue </t>
  </si>
  <si>
    <t>0601</t>
  </si>
  <si>
    <t>0101</t>
  </si>
  <si>
    <t>0801</t>
  </si>
  <si>
    <t>0306</t>
  </si>
  <si>
    <t>Home Interventionists</t>
  </si>
  <si>
    <t>Pupil Services</t>
  </si>
  <si>
    <t>0762</t>
  </si>
  <si>
    <t>Teacher Incentive Payments - Title IIA current year</t>
  </si>
  <si>
    <t>Teacher Incentive Payments - Title IIA carryover funds</t>
  </si>
  <si>
    <t>0763</t>
  </si>
  <si>
    <t>Scholarships for developing teachers  (Title IIA)</t>
  </si>
  <si>
    <t xml:space="preserve">COMPUTER ASSISTED INSTRUCTION </t>
  </si>
  <si>
    <t>Workshops and Conferences (Title I Current Year)</t>
  </si>
  <si>
    <t>Advertising (Title IIA)</t>
  </si>
  <si>
    <t>Workshops and Conferences (Title IIA)</t>
  </si>
  <si>
    <t>Miscellaneous Supp &amp; Materials for Professional Development (Title IIA)</t>
  </si>
  <si>
    <t>Parent Liason</t>
  </si>
  <si>
    <t xml:space="preserve">          Restricted - Federal 'Pass-Thru' Grants-Fed Source Title I (Current Year 07-08)</t>
  </si>
  <si>
    <t xml:space="preserve">          Restricted - Federal 'Pass-Thru' Grants-Fed Source Title I (Current Year 06-07)</t>
  </si>
  <si>
    <t xml:space="preserve">          Restricted - Federal 'Pass-Thru' Grants-Fed Source Title IIA (current Year 07-08)</t>
  </si>
  <si>
    <t>Teaching Supplies - Title I Current year</t>
  </si>
  <si>
    <t>AP salary</t>
  </si>
  <si>
    <t>Vehicle/Bus Rentals (Student Delivery)</t>
  </si>
  <si>
    <t>SOCIAL WORK SERVICES (Funded: 50% AT-Risk/50% IDEA,                                                 except for Junior Academy Positions</t>
  </si>
  <si>
    <t xml:space="preserve">Miscellaneous  </t>
  </si>
  <si>
    <t>Bond Issuance Costs</t>
  </si>
  <si>
    <t>Program/Department Direction (Curriculum Director)</t>
  </si>
  <si>
    <t>11-12</t>
  </si>
  <si>
    <t>Behaviorial Intervention Specialista (At-Risk funded)</t>
  </si>
  <si>
    <t xml:space="preserve">Program/Department Direction  </t>
  </si>
  <si>
    <t>Bus Aides</t>
  </si>
  <si>
    <t>Copyright Fees and Software Licenses/Agreements</t>
  </si>
  <si>
    <t>Purchased Instructional Services - Math Corp</t>
  </si>
  <si>
    <t>Miscellaneous Supplies &amp; Materials (Title iIA)</t>
  </si>
  <si>
    <t>Instructional Consulting (Instructional Coach - Title I funded)</t>
  </si>
  <si>
    <t>Estimated Fund Balance, beginning of period</t>
  </si>
  <si>
    <t>Estimated Fund Balance, end of period</t>
  </si>
  <si>
    <t>Unallocated Title I</t>
  </si>
  <si>
    <t>PUPIL TRANSPORTATION SERVICES</t>
  </si>
  <si>
    <t>Bus Supervisor</t>
  </si>
  <si>
    <t xml:space="preserve">Copiers </t>
  </si>
  <si>
    <t xml:space="preserve">        WCRESA IDEA - Current year</t>
  </si>
  <si>
    <t>Proposed</t>
  </si>
  <si>
    <t>Approved</t>
  </si>
  <si>
    <t>Changes</t>
  </si>
  <si>
    <t>Amended</t>
  </si>
  <si>
    <t>Interest</t>
  </si>
  <si>
    <t>0606</t>
  </si>
  <si>
    <t>0638</t>
  </si>
  <si>
    <t>Teaching Supplies - IDEA ARRA</t>
  </si>
  <si>
    <t>Purchased Services</t>
  </si>
  <si>
    <t>Puchased Services</t>
  </si>
  <si>
    <t>Lead teacher coordination and training (Title IIA)</t>
  </si>
  <si>
    <t>Substituutes for Professional Development (Title IIA)</t>
  </si>
  <si>
    <t>Workshops and Conferences (Title IIA Current Year)</t>
  </si>
  <si>
    <t>ATHLETIC ACTIVITIES</t>
  </si>
  <si>
    <t>Pupil Services-Coaching Stipends</t>
  </si>
  <si>
    <t>Other Purchased Services-Referee fees</t>
  </si>
  <si>
    <t>Dues and fees</t>
  </si>
  <si>
    <t>Miscellaneous (including award banquet and mileage)</t>
  </si>
  <si>
    <t>Athlectic Activities</t>
  </si>
  <si>
    <t>Teaching Supplies - Title I</t>
  </si>
  <si>
    <t>Staff Services</t>
  </si>
  <si>
    <t>Vehicle/Bus Rentals (Title I Field Trips)</t>
  </si>
  <si>
    <t>0637</t>
  </si>
  <si>
    <t>Transportation</t>
  </si>
  <si>
    <t>Teacher Evaluation</t>
  </si>
  <si>
    <t>Management Information Services</t>
  </si>
  <si>
    <t xml:space="preserve">          Miscellaneous Non-Grant Revenue (LatchKey Program, nets to zero and Fundraising)</t>
  </si>
  <si>
    <t>Amended Budget</t>
  </si>
  <si>
    <t>Instructional Consulting (Instructional Coach - General Fund funded)</t>
  </si>
  <si>
    <t>Instructional Consulting (Instructional Coach - Title IIA)</t>
  </si>
  <si>
    <t>Miscellaneous Supp &amp; Materials (Count Day and Staff functions)</t>
  </si>
  <si>
    <t>Paraprofessionals</t>
  </si>
  <si>
    <t>Projected</t>
  </si>
  <si>
    <t>14-15</t>
  </si>
  <si>
    <t>Projected Student Enrollment</t>
  </si>
  <si>
    <t>950 students</t>
  </si>
  <si>
    <t>1000 students</t>
  </si>
  <si>
    <t>Projected Increase in healthcare costs</t>
  </si>
  <si>
    <t>15-16</t>
  </si>
  <si>
    <t>1050 students</t>
  </si>
  <si>
    <t>16-17</t>
  </si>
  <si>
    <t>17-18</t>
  </si>
  <si>
    <t>7168*</t>
  </si>
  <si>
    <t>Inflation Assumption (unless specific to line item)</t>
  </si>
  <si>
    <t>Fiscal Year Ended June 30</t>
  </si>
  <si>
    <t>1080 students</t>
  </si>
  <si>
    <t>Projected Salary Increase (Teachers only); others random</t>
  </si>
  <si>
    <t>Behaviorial Intervention Specialista (Title 1 funded)</t>
  </si>
  <si>
    <t xml:space="preserve">                                 Oakland University</t>
  </si>
  <si>
    <t>Michigan Per Pupil State Aid ($7,511 in 16-17)</t>
  </si>
  <si>
    <t>Security Supervisor</t>
  </si>
  <si>
    <t>Custodial Supervisor</t>
  </si>
  <si>
    <t>Revenues and Expenditures Projected for 16-17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</si>
</sst>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_);_(* \(#,##0.000000\);_(* &quot;-&quot;????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/dd/yyyy"/>
    <numFmt numFmtId="176" formatCode="_(&quot;$&quot;* #,##0.0_);_(&quot;$&quot;* \(#,##0.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  <numFmt numFmtId="180" formatCode="#,##0.0000"/>
    <numFmt numFmtId="181" formatCode="#,##0.0"/>
    <numFmt numFmtId="182" formatCode="#,##0.000"/>
    <numFmt numFmtId="183" formatCode="0.0%"/>
  </numFmts>
  <fonts count="5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u val="single"/>
      <sz val="10"/>
      <name val="Arial"/>
      <family val="2"/>
    </font>
    <font>
      <b/>
      <u val="single"/>
      <sz val="11"/>
      <color indexed="9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9" fillId="33" borderId="24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5" xfId="0" applyFont="1" applyFill="1" applyBorder="1" applyAlignment="1" quotePrefix="1">
      <alignment horizontal="center"/>
    </xf>
    <xf numFmtId="0" fontId="10" fillId="33" borderId="16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25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78" fontId="4" fillId="0" borderId="28" xfId="42" applyNumberFormat="1" applyFont="1" applyBorder="1" applyAlignment="1">
      <alignment/>
    </xf>
    <xf numFmtId="178" fontId="4" fillId="0" borderId="29" xfId="42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0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37" fontId="4" fillId="0" borderId="2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5" fontId="5" fillId="0" borderId="29" xfId="0" applyNumberFormat="1" applyFont="1" applyBorder="1" applyAlignment="1">
      <alignment/>
    </xf>
    <xf numFmtId="49" fontId="3" fillId="35" borderId="21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178" fontId="4" fillId="0" borderId="28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29" xfId="0" applyNumberFormat="1" applyFont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4" fillId="0" borderId="28" xfId="42" applyNumberFormat="1" applyFont="1" applyBorder="1" applyAlignment="1">
      <alignment/>
    </xf>
    <xf numFmtId="0" fontId="14" fillId="0" borderId="19" xfId="0" applyFont="1" applyFill="1" applyBorder="1" applyAlignment="1">
      <alignment horizont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5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9" fontId="4" fillId="0" borderId="0" xfId="0" applyNumberFormat="1" applyFont="1" applyAlignment="1">
      <alignment horizontal="center"/>
    </xf>
    <xf numFmtId="183" fontId="4" fillId="0" borderId="0" xfId="42" applyNumberFormat="1" applyFont="1" applyFill="1" applyBorder="1" applyAlignment="1">
      <alignment/>
    </xf>
    <xf numFmtId="178" fontId="4" fillId="0" borderId="0" xfId="42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6" fontId="17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8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4" fillId="33" borderId="2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3"/>
  <sheetViews>
    <sheetView tabSelected="1" zoomScaleSheetLayoutView="50" zoomScalePageLayoutView="0" workbookViewId="0" topLeftCell="A1">
      <selection activeCell="W6" sqref="W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10.00390625" style="0" customWidth="1"/>
    <col min="4" max="4" width="8.57421875" style="0" customWidth="1"/>
    <col min="5" max="5" width="58.00390625" style="0" customWidth="1"/>
    <col min="6" max="6" width="13.57421875" style="0" hidden="1" customWidth="1"/>
    <col min="7" max="7" width="10.7109375" style="0" hidden="1" customWidth="1"/>
    <col min="8" max="8" width="13.57421875" style="0" hidden="1" customWidth="1"/>
    <col min="9" max="9" width="11.00390625" style="0" hidden="1" customWidth="1"/>
    <col min="10" max="10" width="9.00390625" style="0" hidden="1" customWidth="1"/>
    <col min="11" max="11" width="0.13671875" style="0" hidden="1" customWidth="1"/>
    <col min="12" max="12" width="11.140625" style="0" hidden="1" customWidth="1"/>
    <col min="13" max="13" width="6.421875" style="0" hidden="1" customWidth="1"/>
    <col min="14" max="14" width="11.140625" style="0" hidden="1" customWidth="1"/>
    <col min="15" max="15" width="6.421875" style="0" hidden="1" customWidth="1"/>
    <col min="16" max="16" width="11.8515625" style="0" hidden="1" customWidth="1"/>
    <col min="17" max="17" width="6.421875" style="0" hidden="1" customWidth="1"/>
    <col min="18" max="18" width="11.7109375" style="0" hidden="1" customWidth="1"/>
    <col min="19" max="19" width="6.57421875" style="0" hidden="1" customWidth="1"/>
    <col min="20" max="20" width="11.140625" style="0" customWidth="1"/>
    <col min="21" max="21" width="6.421875" style="0" customWidth="1"/>
  </cols>
  <sheetData>
    <row r="1" spans="1:5" ht="18.75">
      <c r="A1" s="170" t="s">
        <v>49</v>
      </c>
      <c r="B1" s="171"/>
      <c r="C1" s="171"/>
      <c r="D1" s="171"/>
      <c r="E1" s="171"/>
    </row>
    <row r="2" spans="1:5" ht="18.75">
      <c r="A2" s="172" t="s">
        <v>257</v>
      </c>
      <c r="B2" s="173"/>
      <c r="C2" s="173"/>
      <c r="D2" s="173"/>
      <c r="E2" s="173"/>
    </row>
    <row r="3" spans="1:5" ht="18.75">
      <c r="A3" s="172" t="s">
        <v>249</v>
      </c>
      <c r="B3" s="174"/>
      <c r="C3" s="174"/>
      <c r="D3" s="174"/>
      <c r="E3" s="174"/>
    </row>
    <row r="4" spans="1:5" ht="19.5" thickBot="1">
      <c r="A4" s="175" t="s">
        <v>131</v>
      </c>
      <c r="B4" s="176"/>
      <c r="C4" s="176"/>
      <c r="D4" s="176"/>
      <c r="E4" s="176"/>
    </row>
    <row r="5" spans="1:20" ht="18.75">
      <c r="A5" s="109"/>
      <c r="B5" s="110"/>
      <c r="C5" s="110"/>
      <c r="D5" s="110"/>
      <c r="E5" s="110"/>
      <c r="F5" s="102" t="s">
        <v>190</v>
      </c>
      <c r="G5" s="115" t="s">
        <v>206</v>
      </c>
      <c r="H5" s="102" t="s">
        <v>190</v>
      </c>
      <c r="I5" s="115" t="s">
        <v>205</v>
      </c>
      <c r="J5" s="102" t="s">
        <v>190</v>
      </c>
      <c r="K5" s="102"/>
      <c r="N5" s="102" t="s">
        <v>238</v>
      </c>
      <c r="P5" s="102" t="s">
        <v>243</v>
      </c>
      <c r="R5" s="102" t="s">
        <v>245</v>
      </c>
      <c r="T5" s="102" t="s">
        <v>246</v>
      </c>
    </row>
    <row r="6" spans="1:21" ht="16.5" thickBot="1">
      <c r="A6" s="80" t="s">
        <v>83</v>
      </c>
      <c r="B6" s="81" t="s">
        <v>84</v>
      </c>
      <c r="C6" s="81" t="s">
        <v>6</v>
      </c>
      <c r="D6" s="81" t="s">
        <v>162</v>
      </c>
      <c r="E6" s="79" t="s">
        <v>7</v>
      </c>
      <c r="F6" s="116" t="s">
        <v>206</v>
      </c>
      <c r="G6" s="116" t="s">
        <v>207</v>
      </c>
      <c r="H6" s="116" t="s">
        <v>208</v>
      </c>
      <c r="I6" s="116" t="s">
        <v>207</v>
      </c>
      <c r="J6" s="116" t="s">
        <v>208</v>
      </c>
      <c r="K6" s="127" t="s">
        <v>237</v>
      </c>
      <c r="N6" s="127" t="s">
        <v>237</v>
      </c>
      <c r="O6" s="127"/>
      <c r="P6" s="127" t="s">
        <v>237</v>
      </c>
      <c r="Q6" s="127"/>
      <c r="R6" s="127" t="s">
        <v>237</v>
      </c>
      <c r="S6" s="127"/>
      <c r="T6" s="127" t="s">
        <v>237</v>
      </c>
      <c r="U6" s="127"/>
    </row>
    <row r="7" spans="1:21" ht="16.5" thickTop="1">
      <c r="A7" s="47"/>
      <c r="B7" s="48"/>
      <c r="C7" s="48"/>
      <c r="D7" s="48"/>
      <c r="E7" s="49"/>
      <c r="F7" s="116" t="s">
        <v>232</v>
      </c>
      <c r="G7" s="117">
        <v>40778</v>
      </c>
      <c r="H7" s="116" t="s">
        <v>63</v>
      </c>
      <c r="I7" s="117">
        <v>40854</v>
      </c>
      <c r="J7" s="116" t="s">
        <v>63</v>
      </c>
      <c r="K7" s="116"/>
      <c r="N7" s="116" t="s">
        <v>63</v>
      </c>
      <c r="O7" s="116"/>
      <c r="P7" s="116" t="s">
        <v>63</v>
      </c>
      <c r="Q7" s="116"/>
      <c r="R7" s="116" t="s">
        <v>63</v>
      </c>
      <c r="S7" s="116"/>
      <c r="T7" s="116" t="s">
        <v>63</v>
      </c>
      <c r="U7" s="116"/>
    </row>
    <row r="8" spans="1:21" ht="9.75" customHeight="1">
      <c r="A8" s="128"/>
      <c r="B8" s="129"/>
      <c r="C8" s="129"/>
      <c r="D8" s="129"/>
      <c r="E8" s="130"/>
      <c r="F8" s="116"/>
      <c r="G8" s="117"/>
      <c r="H8" s="116"/>
      <c r="I8" s="117"/>
      <c r="J8" s="116"/>
      <c r="K8" s="116"/>
      <c r="N8" s="116"/>
      <c r="O8" s="116"/>
      <c r="P8" s="116"/>
      <c r="Q8" s="116"/>
      <c r="R8" s="116"/>
      <c r="S8" s="116"/>
      <c r="T8" s="116"/>
      <c r="U8" s="116"/>
    </row>
    <row r="9" spans="1:21" ht="15.75">
      <c r="A9" s="128"/>
      <c r="B9" s="129"/>
      <c r="C9" s="129"/>
      <c r="D9" s="129"/>
      <c r="E9" s="100" t="s">
        <v>239</v>
      </c>
      <c r="F9" s="116"/>
      <c r="G9" s="117"/>
      <c r="H9" s="116"/>
      <c r="I9" s="117"/>
      <c r="J9" s="116"/>
      <c r="K9" s="116" t="s">
        <v>240</v>
      </c>
      <c r="N9" s="116" t="s">
        <v>241</v>
      </c>
      <c r="O9" s="116"/>
      <c r="P9" s="116" t="s">
        <v>244</v>
      </c>
      <c r="Q9" s="116"/>
      <c r="R9" s="116" t="s">
        <v>250</v>
      </c>
      <c r="S9" s="116"/>
      <c r="T9" s="116" t="s">
        <v>250</v>
      </c>
      <c r="U9" s="116"/>
    </row>
    <row r="10" spans="1:21" ht="15.75">
      <c r="A10" s="128"/>
      <c r="B10" s="129"/>
      <c r="C10" s="129"/>
      <c r="D10" s="129"/>
      <c r="E10" s="100" t="s">
        <v>251</v>
      </c>
      <c r="F10" s="116"/>
      <c r="G10" s="117"/>
      <c r="H10" s="116"/>
      <c r="I10" s="117"/>
      <c r="J10" s="116"/>
      <c r="K10" s="131">
        <v>0</v>
      </c>
      <c r="N10" s="131">
        <v>0.03</v>
      </c>
      <c r="O10" s="131"/>
      <c r="P10" s="131">
        <v>0</v>
      </c>
      <c r="Q10" s="131"/>
      <c r="R10" s="131">
        <v>0.03</v>
      </c>
      <c r="S10" s="131"/>
      <c r="T10" s="131">
        <v>0</v>
      </c>
      <c r="U10" s="131"/>
    </row>
    <row r="11" spans="1:21" ht="15.75">
      <c r="A11" s="128"/>
      <c r="B11" s="129"/>
      <c r="C11" s="129"/>
      <c r="D11" s="129"/>
      <c r="E11" s="100" t="s">
        <v>242</v>
      </c>
      <c r="F11" s="116"/>
      <c r="G11" s="117"/>
      <c r="H11" s="116"/>
      <c r="I11" s="117"/>
      <c r="J11" s="116"/>
      <c r="K11" s="131">
        <v>0.05</v>
      </c>
      <c r="N11" s="131">
        <v>0.05</v>
      </c>
      <c r="O11" s="131"/>
      <c r="P11" s="131">
        <v>0.05</v>
      </c>
      <c r="Q11" s="131"/>
      <c r="R11" s="131">
        <v>0.05</v>
      </c>
      <c r="S11" s="131"/>
      <c r="T11" s="131">
        <v>0.05</v>
      </c>
      <c r="U11" s="131"/>
    </row>
    <row r="12" spans="1:21" ht="15.75">
      <c r="A12" s="128"/>
      <c r="B12" s="129"/>
      <c r="C12" s="129"/>
      <c r="D12" s="129"/>
      <c r="E12" s="100" t="s">
        <v>248</v>
      </c>
      <c r="F12" s="116"/>
      <c r="G12" s="117"/>
      <c r="H12" s="116"/>
      <c r="I12" s="117"/>
      <c r="J12" s="116"/>
      <c r="K12" s="131">
        <v>0.03</v>
      </c>
      <c r="N12" s="131">
        <v>0.03</v>
      </c>
      <c r="O12" s="131"/>
      <c r="P12" s="131">
        <v>0.03</v>
      </c>
      <c r="Q12" s="131"/>
      <c r="R12" s="131">
        <v>0.02</v>
      </c>
      <c r="S12" s="131"/>
      <c r="T12" s="131">
        <v>0.02</v>
      </c>
      <c r="U12" s="131"/>
    </row>
    <row r="13" spans="1:21" ht="15.75">
      <c r="A13" s="128"/>
      <c r="B13" s="129"/>
      <c r="C13" s="129"/>
      <c r="D13" s="129"/>
      <c r="E13" s="137" t="s">
        <v>254</v>
      </c>
      <c r="K13" s="138" t="s">
        <v>247</v>
      </c>
      <c r="N13" s="138">
        <v>7174</v>
      </c>
      <c r="P13" s="138">
        <v>7251</v>
      </c>
      <c r="R13" s="138">
        <v>7391</v>
      </c>
      <c r="S13" s="138"/>
      <c r="T13" s="138">
        <v>7511</v>
      </c>
      <c r="U13" s="138"/>
    </row>
    <row r="14" spans="1:6" ht="15.75">
      <c r="A14" s="163" t="s">
        <v>112</v>
      </c>
      <c r="B14" s="164"/>
      <c r="C14" s="164"/>
      <c r="D14" s="164"/>
      <c r="E14" s="164"/>
      <c r="F14" s="37"/>
    </row>
    <row r="15" spans="1:6" ht="12.75">
      <c r="A15" s="3">
        <v>11</v>
      </c>
      <c r="B15" s="4">
        <v>151</v>
      </c>
      <c r="C15" s="6" t="s">
        <v>8</v>
      </c>
      <c r="D15" s="6"/>
      <c r="E15" s="6"/>
      <c r="F15" s="37"/>
    </row>
    <row r="16" spans="1:21" ht="12.75">
      <c r="A16" s="3">
        <v>11</v>
      </c>
      <c r="B16" s="4">
        <v>199</v>
      </c>
      <c r="C16" s="9" t="s">
        <v>231</v>
      </c>
      <c r="D16" s="12"/>
      <c r="E16" s="8"/>
      <c r="F16" s="41">
        <v>25000</v>
      </c>
      <c r="H16" s="41">
        <f>F16+G16</f>
        <v>25000</v>
      </c>
      <c r="J16" s="41">
        <f>H16+I16</f>
        <v>25000</v>
      </c>
      <c r="K16" s="41">
        <v>20000</v>
      </c>
      <c r="N16" s="41">
        <v>18000</v>
      </c>
      <c r="O16" s="41"/>
      <c r="P16" s="41">
        <v>20000</v>
      </c>
      <c r="Q16" s="41"/>
      <c r="R16" s="41">
        <v>40000</v>
      </c>
      <c r="S16" s="41"/>
      <c r="T16" s="41">
        <v>45000</v>
      </c>
      <c r="U16" s="41"/>
    </row>
    <row r="17" spans="1:6" ht="12.75">
      <c r="A17" s="71" t="s">
        <v>5</v>
      </c>
      <c r="B17" s="72">
        <v>300</v>
      </c>
      <c r="C17" s="60" t="s">
        <v>9</v>
      </c>
      <c r="D17" s="60"/>
      <c r="E17" s="60"/>
      <c r="F17" s="37"/>
    </row>
    <row r="18" spans="1:21" ht="12.75">
      <c r="A18" s="3">
        <v>11</v>
      </c>
      <c r="B18" s="4">
        <v>311</v>
      </c>
      <c r="C18" s="7" t="s">
        <v>10</v>
      </c>
      <c r="D18" s="85"/>
      <c r="E18" s="8"/>
      <c r="F18" s="41">
        <f>SUM(1721*7210)*0.25+(1250*7210)*0.75</f>
        <v>9861477.5</v>
      </c>
      <c r="H18" s="41">
        <f>F18+G18</f>
        <v>9861477.5</v>
      </c>
      <c r="I18" s="41">
        <f>-SUM(H18-J18)</f>
        <v>-918193.5</v>
      </c>
      <c r="J18" s="41">
        <f>SUM(1721*7210)*0.1+(1187*7210)*0.9</f>
        <v>8943284</v>
      </c>
      <c r="K18" s="41">
        <f>SUM(1030*7168)*0.1+(950*7168)*0.9</f>
        <v>6866944</v>
      </c>
      <c r="N18" s="41">
        <f>SUM(950*7174)*0.1+(1000*7174)*0.9</f>
        <v>7138130</v>
      </c>
      <c r="O18" s="41"/>
      <c r="P18" s="41">
        <f>SUM(1000*7251)*0.1+(1050*7251)*0.9</f>
        <v>7577295</v>
      </c>
      <c r="Q18" s="41"/>
      <c r="R18" s="41">
        <f>SUM(1050*7391)*0.1+(1080*7391)*0.9</f>
        <v>7960107</v>
      </c>
      <c r="S18" s="41"/>
      <c r="T18" s="41">
        <f>SUM(1050*7511)*0.1+(1080*7511)*0.9</f>
        <v>8089347</v>
      </c>
      <c r="U18" s="41"/>
    </row>
    <row r="19" spans="1:21" ht="12.75">
      <c r="A19" s="3">
        <v>11</v>
      </c>
      <c r="B19" s="4">
        <v>312</v>
      </c>
      <c r="C19" s="7" t="s">
        <v>50</v>
      </c>
      <c r="D19" s="85"/>
      <c r="E19" s="8"/>
      <c r="F19" s="41">
        <v>598304</v>
      </c>
      <c r="H19" s="41">
        <f>F19+G19</f>
        <v>598304</v>
      </c>
      <c r="J19" s="41">
        <f>H19+I19</f>
        <v>598304</v>
      </c>
      <c r="K19" s="41">
        <v>456747</v>
      </c>
      <c r="L19" s="41">
        <f>K33+K37+K39+K41+K43+K45+K175+K178+K180+K182+K184+K186+K188+K213+K215+K217+K219+K221+K223+K225+K418+K420</f>
        <v>344325.98199999996</v>
      </c>
      <c r="M19" s="41"/>
      <c r="N19" s="41">
        <v>433909.65</v>
      </c>
      <c r="O19" s="41"/>
      <c r="P19" s="41">
        <v>433909.65</v>
      </c>
      <c r="Q19" s="41"/>
      <c r="R19" s="41">
        <v>650000</v>
      </c>
      <c r="S19" s="41"/>
      <c r="T19" s="41">
        <v>740000</v>
      </c>
      <c r="U19" s="41"/>
    </row>
    <row r="20" spans="1:6" ht="12.75">
      <c r="A20" s="71" t="s">
        <v>5</v>
      </c>
      <c r="B20" s="72">
        <v>400</v>
      </c>
      <c r="C20" s="60" t="s">
        <v>11</v>
      </c>
      <c r="D20" s="60"/>
      <c r="E20" s="60"/>
      <c r="F20" s="37"/>
    </row>
    <row r="21" spans="1:21" ht="12.75">
      <c r="A21" s="10">
        <v>11</v>
      </c>
      <c r="B21" s="4">
        <v>414</v>
      </c>
      <c r="C21" s="106" t="s">
        <v>163</v>
      </c>
      <c r="D21" s="5" t="s">
        <v>180</v>
      </c>
      <c r="E21" s="6"/>
      <c r="F21" s="41">
        <v>1118173</v>
      </c>
      <c r="H21" s="41">
        <f>F21+G21</f>
        <v>1118173</v>
      </c>
      <c r="J21" s="41">
        <f>H21+I21</f>
        <v>1118173</v>
      </c>
      <c r="K21" s="41">
        <v>1133000</v>
      </c>
      <c r="L21" s="56">
        <f>K48+K109+K144+K148+K149+K151+K153+K155+K157+K159+K160+K161+K162+K165+K166+K167+K168+K169+K170+K171+K233+K236+K238+K240+K243+K246+K249+K258+K289+K290+K291+K292+K293+K294+K295+K488</f>
        <v>984457.46</v>
      </c>
      <c r="M21" s="56"/>
      <c r="N21" s="41">
        <v>700000</v>
      </c>
      <c r="O21" s="41"/>
      <c r="P21" s="41">
        <v>700000</v>
      </c>
      <c r="Q21" s="41"/>
      <c r="R21" s="41">
        <v>1079000</v>
      </c>
      <c r="S21" s="41"/>
      <c r="T21" s="41">
        <v>1020000</v>
      </c>
      <c r="U21" s="41"/>
    </row>
    <row r="22" spans="1:6" ht="12.75">
      <c r="A22" s="10">
        <v>11</v>
      </c>
      <c r="B22" s="4">
        <v>414</v>
      </c>
      <c r="C22" s="83"/>
      <c r="D22" s="5" t="s">
        <v>181</v>
      </c>
      <c r="E22" s="8"/>
      <c r="F22" s="41"/>
    </row>
    <row r="23" spans="1:6" ht="12.75">
      <c r="A23" s="10">
        <v>11</v>
      </c>
      <c r="B23" s="4"/>
      <c r="D23" s="5" t="s">
        <v>61</v>
      </c>
      <c r="E23" s="8"/>
      <c r="F23" s="41"/>
    </row>
    <row r="24" spans="1:21" ht="12.75">
      <c r="A24" s="10">
        <v>11</v>
      </c>
      <c r="B24" s="4">
        <v>414</v>
      </c>
      <c r="C24" s="106" t="s">
        <v>169</v>
      </c>
      <c r="D24" s="7" t="s">
        <v>182</v>
      </c>
      <c r="E24" s="8"/>
      <c r="F24" s="41">
        <v>96601</v>
      </c>
      <c r="H24" s="41">
        <f>F24+G24</f>
        <v>96601</v>
      </c>
      <c r="J24" s="41">
        <f>H24+I24</f>
        <v>96601</v>
      </c>
      <c r="K24" s="41">
        <v>69280</v>
      </c>
      <c r="L24">
        <f>K254+K259+K260</f>
        <v>29248</v>
      </c>
      <c r="N24" s="41">
        <v>65816</v>
      </c>
      <c r="O24" s="41"/>
      <c r="P24" s="41">
        <v>65816</v>
      </c>
      <c r="Q24" s="41"/>
      <c r="R24" s="41">
        <v>76519</v>
      </c>
      <c r="S24" s="41"/>
      <c r="T24" s="41">
        <v>68000</v>
      </c>
      <c r="U24" s="41"/>
    </row>
    <row r="25" spans="1:6" ht="12.75" hidden="1">
      <c r="A25" s="10"/>
      <c r="B25" s="4">
        <v>419</v>
      </c>
      <c r="C25" s="7" t="s">
        <v>58</v>
      </c>
      <c r="D25" s="85"/>
      <c r="E25" s="8"/>
      <c r="F25" s="41"/>
    </row>
    <row r="26" spans="1:6" ht="12.75">
      <c r="A26" s="73"/>
      <c r="B26" s="72">
        <v>417</v>
      </c>
      <c r="C26" s="74"/>
      <c r="D26" s="74"/>
      <c r="E26" s="59" t="s">
        <v>75</v>
      </c>
      <c r="F26" s="41"/>
    </row>
    <row r="27" spans="1:6" ht="12.75">
      <c r="A27" s="11"/>
      <c r="B27" s="4"/>
      <c r="C27" s="177" t="s">
        <v>253</v>
      </c>
      <c r="D27" s="178"/>
      <c r="E27" s="179"/>
      <c r="F27" s="41"/>
    </row>
    <row r="28" spans="1:21" ht="12.75">
      <c r="A28" s="11">
        <v>11</v>
      </c>
      <c r="B28" s="4">
        <v>417</v>
      </c>
      <c r="C28" s="8" t="s">
        <v>204</v>
      </c>
      <c r="D28" s="12"/>
      <c r="F28" s="41">
        <v>227500</v>
      </c>
      <c r="H28" s="41">
        <f>F28+G28</f>
        <v>227500</v>
      </c>
      <c r="I28" s="56"/>
      <c r="J28" s="41">
        <f>H28+I28</f>
        <v>227500</v>
      </c>
      <c r="K28" s="41">
        <v>150000</v>
      </c>
      <c r="L28" s="56">
        <f>K115+K118+K120+K123+K126+K129+K134+K136+K138+K209+K211+K227</f>
        <v>149525.18</v>
      </c>
      <c r="M28" s="56"/>
      <c r="N28" s="41">
        <v>142500</v>
      </c>
      <c r="O28" s="41"/>
      <c r="P28" s="41">
        <v>142500</v>
      </c>
      <c r="Q28" s="41"/>
      <c r="R28" s="41">
        <v>157140</v>
      </c>
      <c r="S28" s="41"/>
      <c r="T28" s="41">
        <v>159000</v>
      </c>
      <c r="U28" s="41"/>
    </row>
    <row r="29" spans="1:21" ht="16.5" thickBot="1">
      <c r="A29" s="162" t="s">
        <v>12</v>
      </c>
      <c r="B29" s="146"/>
      <c r="C29" s="146"/>
      <c r="D29" s="146"/>
      <c r="E29" s="147"/>
      <c r="F29" s="89">
        <f aca="true" t="shared" si="0" ref="F29:K29">SUM(F15:F28)</f>
        <v>11927055.5</v>
      </c>
      <c r="G29" s="89">
        <f t="shared" si="0"/>
        <v>0</v>
      </c>
      <c r="H29" s="89">
        <f t="shared" si="0"/>
        <v>11927055.5</v>
      </c>
      <c r="I29" s="89">
        <f t="shared" si="0"/>
        <v>-918193.5</v>
      </c>
      <c r="J29" s="89">
        <f t="shared" si="0"/>
        <v>11008862</v>
      </c>
      <c r="K29" s="89">
        <f t="shared" si="0"/>
        <v>8695971</v>
      </c>
      <c r="N29" s="89">
        <f>SUM(N15:N28)</f>
        <v>8498355.65</v>
      </c>
      <c r="O29" s="133"/>
      <c r="P29" s="89">
        <f>SUM(P15:P28)</f>
        <v>8939520.65</v>
      </c>
      <c r="Q29" s="133"/>
      <c r="R29" s="89">
        <f>SUM(R15:R28)</f>
        <v>9962766</v>
      </c>
      <c r="S29" s="133"/>
      <c r="T29" s="89">
        <f>SUM(T15:T28)</f>
        <v>10121347</v>
      </c>
      <c r="U29" s="133"/>
    </row>
    <row r="30" spans="1:6" ht="16.5" thickTop="1">
      <c r="A30" s="163" t="s">
        <v>113</v>
      </c>
      <c r="B30" s="164"/>
      <c r="C30" s="164"/>
      <c r="D30" s="164"/>
      <c r="E30" s="164"/>
      <c r="F30" s="41"/>
    </row>
    <row r="31" spans="1:6" ht="15.75">
      <c r="A31" s="168" t="s">
        <v>114</v>
      </c>
      <c r="B31" s="169" t="s">
        <v>13</v>
      </c>
      <c r="C31" s="169"/>
      <c r="D31" s="169"/>
      <c r="E31" s="169"/>
      <c r="F31" s="41"/>
    </row>
    <row r="32" spans="1:21" ht="12.75">
      <c r="A32" s="3">
        <v>11</v>
      </c>
      <c r="B32" s="4">
        <v>111</v>
      </c>
      <c r="C32" s="4">
        <v>1240</v>
      </c>
      <c r="D32" s="106" t="s">
        <v>164</v>
      </c>
      <c r="E32" s="6" t="s">
        <v>14</v>
      </c>
      <c r="F32" s="41">
        <v>2092302</v>
      </c>
      <c r="G32" s="41">
        <v>-289497</v>
      </c>
      <c r="H32" s="41">
        <f aca="true" t="shared" si="1" ref="H32:H47">F32+G32</f>
        <v>1802805</v>
      </c>
      <c r="I32" s="41">
        <v>-249601</v>
      </c>
      <c r="J32" s="41">
        <f aca="true" t="shared" si="2" ref="J32:J52">H32+I32</f>
        <v>1553204</v>
      </c>
      <c r="K32" s="87">
        <v>1327000</v>
      </c>
      <c r="N32" s="87">
        <v>1446810</v>
      </c>
      <c r="O32" s="87"/>
      <c r="P32" s="87">
        <v>1446810</v>
      </c>
      <c r="Q32" s="87"/>
      <c r="R32" s="87">
        <v>1434393</v>
      </c>
      <c r="S32" s="87"/>
      <c r="T32" s="87">
        <v>1434393</v>
      </c>
      <c r="U32" s="87"/>
    </row>
    <row r="33" spans="1:21" ht="12.75">
      <c r="A33" s="3"/>
      <c r="B33" s="4">
        <v>111</v>
      </c>
      <c r="C33" s="4">
        <v>1290</v>
      </c>
      <c r="D33" s="106" t="s">
        <v>166</v>
      </c>
      <c r="E33" s="6" t="s">
        <v>89</v>
      </c>
      <c r="F33" s="41">
        <v>81054</v>
      </c>
      <c r="H33" s="41">
        <f t="shared" si="1"/>
        <v>81054</v>
      </c>
      <c r="J33" s="41">
        <f t="shared" si="2"/>
        <v>81054</v>
      </c>
      <c r="K33" s="41">
        <v>60000</v>
      </c>
      <c r="N33" s="41">
        <v>61800</v>
      </c>
      <c r="O33" s="41"/>
      <c r="P33" s="41">
        <v>61800</v>
      </c>
      <c r="Q33" s="41"/>
      <c r="R33" s="41">
        <v>191567</v>
      </c>
      <c r="S33" s="41"/>
      <c r="T33" s="41">
        <v>191567</v>
      </c>
      <c r="U33" s="41"/>
    </row>
    <row r="34" spans="1:21" ht="12.75">
      <c r="A34" s="3"/>
      <c r="B34" s="4">
        <v>111</v>
      </c>
      <c r="C34" s="4">
        <v>2110</v>
      </c>
      <c r="D34" s="106" t="s">
        <v>164</v>
      </c>
      <c r="E34" s="6" t="s">
        <v>64</v>
      </c>
      <c r="F34" s="41">
        <v>11361</v>
      </c>
      <c r="H34" s="41">
        <f t="shared" si="1"/>
        <v>11361</v>
      </c>
      <c r="J34" s="41">
        <f t="shared" si="2"/>
        <v>11361</v>
      </c>
      <c r="K34" s="41">
        <v>12000</v>
      </c>
      <c r="N34" s="41">
        <v>12000</v>
      </c>
      <c r="O34" s="41"/>
      <c r="P34" s="41">
        <v>13000</v>
      </c>
      <c r="Q34" s="41"/>
      <c r="R34" s="41">
        <f>13000*1.03</f>
        <v>13390</v>
      </c>
      <c r="S34" s="41"/>
      <c r="T34" s="41">
        <f>13390*1.03</f>
        <v>13791.7</v>
      </c>
      <c r="U34" s="41"/>
    </row>
    <row r="35" spans="1:21" ht="12.75">
      <c r="A35" s="3"/>
      <c r="B35" s="4">
        <v>111</v>
      </c>
      <c r="C35" s="4">
        <v>2110</v>
      </c>
      <c r="D35" s="106" t="s">
        <v>166</v>
      </c>
      <c r="E35" s="6" t="s">
        <v>64</v>
      </c>
      <c r="F35" s="41">
        <v>0</v>
      </c>
      <c r="H35" s="41">
        <f t="shared" si="1"/>
        <v>0</v>
      </c>
      <c r="J35" s="41">
        <f t="shared" si="2"/>
        <v>0</v>
      </c>
      <c r="K35" s="41">
        <v>250</v>
      </c>
      <c r="N35" s="41">
        <v>250</v>
      </c>
      <c r="O35" s="41"/>
      <c r="P35" s="41">
        <v>270</v>
      </c>
      <c r="Q35" s="41"/>
      <c r="R35" s="41">
        <v>270</v>
      </c>
      <c r="S35" s="41"/>
      <c r="T35" s="41">
        <f>270*1.03</f>
        <v>278.1</v>
      </c>
      <c r="U35" s="41"/>
    </row>
    <row r="36" spans="1:21" ht="12.75">
      <c r="A36" s="3"/>
      <c r="B36" s="4">
        <v>111</v>
      </c>
      <c r="C36" s="4">
        <v>2130</v>
      </c>
      <c r="D36" s="106" t="s">
        <v>164</v>
      </c>
      <c r="E36" s="6" t="s">
        <v>15</v>
      </c>
      <c r="F36" s="41">
        <v>172000</v>
      </c>
      <c r="H36" s="41">
        <f t="shared" si="1"/>
        <v>172000</v>
      </c>
      <c r="J36" s="41">
        <f t="shared" si="2"/>
        <v>172000</v>
      </c>
      <c r="K36" s="41">
        <v>151000</v>
      </c>
      <c r="N36" s="41">
        <v>158550</v>
      </c>
      <c r="O36" s="41"/>
      <c r="P36" s="41">
        <v>166478</v>
      </c>
      <c r="Q36" s="41"/>
      <c r="R36" s="41">
        <v>174802</v>
      </c>
      <c r="S36" s="41"/>
      <c r="T36" s="41">
        <v>183542</v>
      </c>
      <c r="U36" s="41"/>
    </row>
    <row r="37" spans="1:21" ht="12.75">
      <c r="A37" s="3"/>
      <c r="B37" s="4">
        <v>111</v>
      </c>
      <c r="C37" s="4">
        <v>2130</v>
      </c>
      <c r="D37" s="106" t="s">
        <v>166</v>
      </c>
      <c r="E37" s="6" t="s">
        <v>15</v>
      </c>
      <c r="F37" s="41">
        <v>15000</v>
      </c>
      <c r="H37" s="41">
        <f t="shared" si="1"/>
        <v>15000</v>
      </c>
      <c r="J37" s="41">
        <f t="shared" si="2"/>
        <v>15000</v>
      </c>
      <c r="K37" s="41">
        <v>11998</v>
      </c>
      <c r="N37" s="41">
        <v>12598</v>
      </c>
      <c r="O37" s="41"/>
      <c r="P37" s="41">
        <v>13228</v>
      </c>
      <c r="Q37" s="41"/>
      <c r="R37" s="41">
        <v>13889</v>
      </c>
      <c r="S37" s="41"/>
      <c r="T37" s="41">
        <f>13889*1.03</f>
        <v>14305.67</v>
      </c>
      <c r="U37" s="41"/>
    </row>
    <row r="38" spans="1:21" ht="12.75">
      <c r="A38" s="3"/>
      <c r="B38" s="4">
        <v>111</v>
      </c>
      <c r="C38" s="4">
        <v>2820</v>
      </c>
      <c r="D38" s="106" t="s">
        <v>164</v>
      </c>
      <c r="E38" s="6" t="s">
        <v>16</v>
      </c>
      <c r="F38" s="41">
        <f>SUM(F32)*0.06</f>
        <v>125538.12</v>
      </c>
      <c r="G38" s="41">
        <f>SUM(G32)*0.06-10000</f>
        <v>-27369.82</v>
      </c>
      <c r="H38" s="41">
        <f t="shared" si="1"/>
        <v>98168.29999999999</v>
      </c>
      <c r="I38" s="41">
        <v>-51572</v>
      </c>
      <c r="J38" s="41">
        <f t="shared" si="2"/>
        <v>46596.29999999999</v>
      </c>
      <c r="K38" s="41">
        <f>K32*0.02</f>
        <v>26540</v>
      </c>
      <c r="N38" s="41">
        <f>N32*0.02</f>
        <v>28936.2</v>
      </c>
      <c r="O38" s="41"/>
      <c r="P38" s="41">
        <f>P32*0.02</f>
        <v>28936.2</v>
      </c>
      <c r="Q38" s="41"/>
      <c r="R38" s="41">
        <f>R32*0.02</f>
        <v>28687.86</v>
      </c>
      <c r="S38" s="41"/>
      <c r="T38" s="41">
        <f>T32*0.02</f>
        <v>28687.86</v>
      </c>
      <c r="U38" s="41"/>
    </row>
    <row r="39" spans="1:21" ht="12.75">
      <c r="A39" s="3"/>
      <c r="B39" s="4">
        <v>111</v>
      </c>
      <c r="C39" s="4">
        <v>2820</v>
      </c>
      <c r="D39" s="106" t="s">
        <v>166</v>
      </c>
      <c r="E39" s="6" t="s">
        <v>16</v>
      </c>
      <c r="F39" s="41">
        <f>SUM(F33)*0.2</f>
        <v>16210.800000000001</v>
      </c>
      <c r="H39" s="41">
        <f t="shared" si="1"/>
        <v>16210.800000000001</v>
      </c>
      <c r="J39" s="41">
        <f t="shared" si="2"/>
        <v>16210.800000000001</v>
      </c>
      <c r="K39" s="41">
        <f>K33*0.03</f>
        <v>1800</v>
      </c>
      <c r="N39" s="41">
        <f>N33*0.03</f>
        <v>1854</v>
      </c>
      <c r="O39" s="41"/>
      <c r="P39" s="41">
        <f>P33*0.03</f>
        <v>1854</v>
      </c>
      <c r="Q39" s="41"/>
      <c r="R39" s="41">
        <f>R33*0.03</f>
        <v>5747.01</v>
      </c>
      <c r="S39" s="41"/>
      <c r="T39" s="41">
        <f>T33*0.03</f>
        <v>5747.01</v>
      </c>
      <c r="U39" s="41"/>
    </row>
    <row r="40" spans="1:21" ht="12.75">
      <c r="A40" s="3"/>
      <c r="B40" s="4">
        <v>111</v>
      </c>
      <c r="C40" s="4">
        <v>2830</v>
      </c>
      <c r="D40" s="106" t="s">
        <v>164</v>
      </c>
      <c r="E40" s="6" t="s">
        <v>17</v>
      </c>
      <c r="F40" s="41">
        <f>SUM(F32)*0.0765</f>
        <v>160061.103</v>
      </c>
      <c r="G40" s="41">
        <f>SUM(G32)*0.0765</f>
        <v>-22146.5205</v>
      </c>
      <c r="H40" s="41">
        <f t="shared" si="1"/>
        <v>137914.58250000002</v>
      </c>
      <c r="I40" s="41">
        <f>I32*0.0765</f>
        <v>-19094.4765</v>
      </c>
      <c r="J40" s="41">
        <f t="shared" si="2"/>
        <v>118820.10600000001</v>
      </c>
      <c r="K40" s="41">
        <f>K32*0.0765</f>
        <v>101515.5</v>
      </c>
      <c r="N40" s="41">
        <f>N32*0.0765</f>
        <v>110680.965</v>
      </c>
      <c r="O40" s="41"/>
      <c r="P40" s="41">
        <f>P32*0.0765</f>
        <v>110680.965</v>
      </c>
      <c r="Q40" s="41"/>
      <c r="R40" s="41">
        <f>R32*0.0765</f>
        <v>109731.0645</v>
      </c>
      <c r="S40" s="41"/>
      <c r="T40" s="41">
        <f>T32*0.0765</f>
        <v>109731.0645</v>
      </c>
      <c r="U40" s="41"/>
    </row>
    <row r="41" spans="1:21" ht="12.75">
      <c r="A41" s="3"/>
      <c r="B41" s="4">
        <v>111</v>
      </c>
      <c r="C41" s="4">
        <v>2830</v>
      </c>
      <c r="D41" s="106" t="s">
        <v>166</v>
      </c>
      <c r="E41" s="6" t="s">
        <v>17</v>
      </c>
      <c r="F41" s="41">
        <f>SUM(F33*0.0765)</f>
        <v>6200.631</v>
      </c>
      <c r="H41" s="41">
        <f t="shared" si="1"/>
        <v>6200.631</v>
      </c>
      <c r="J41" s="41">
        <f t="shared" si="2"/>
        <v>6200.631</v>
      </c>
      <c r="K41" s="41">
        <f>K33*0.0765</f>
        <v>4590</v>
      </c>
      <c r="N41" s="41">
        <f>N33*0.0765</f>
        <v>4727.7</v>
      </c>
      <c r="O41" s="41"/>
      <c r="P41" s="41">
        <f>P33*0.0765</f>
        <v>4727.7</v>
      </c>
      <c r="Q41" s="41"/>
      <c r="R41" s="41">
        <f>R33*0.0765</f>
        <v>14654.8755</v>
      </c>
      <c r="S41" s="41"/>
      <c r="T41" s="41">
        <f>T33*0.0765</f>
        <v>14654.8755</v>
      </c>
      <c r="U41" s="41"/>
    </row>
    <row r="42" spans="1:21" ht="12.75">
      <c r="A42" s="3"/>
      <c r="B42" s="4">
        <v>111</v>
      </c>
      <c r="C42" s="4">
        <v>2840</v>
      </c>
      <c r="D42" s="106" t="s">
        <v>164</v>
      </c>
      <c r="E42" s="6" t="s">
        <v>18</v>
      </c>
      <c r="F42" s="41">
        <f>SUM(F32)*0.0055</f>
        <v>11507.661</v>
      </c>
      <c r="G42" s="41">
        <f>SUM(G32)*0.0055</f>
        <v>-1592.2334999999998</v>
      </c>
      <c r="H42" s="41">
        <f t="shared" si="1"/>
        <v>9915.4275</v>
      </c>
      <c r="I42" s="41">
        <f>I32*0.0055</f>
        <v>-1372.8055</v>
      </c>
      <c r="J42" s="41">
        <f t="shared" si="2"/>
        <v>8542.622</v>
      </c>
      <c r="K42" s="41">
        <f>K32*0.0055</f>
        <v>7298.5</v>
      </c>
      <c r="N42" s="41">
        <f>N32*0.0055</f>
        <v>7957.455</v>
      </c>
      <c r="O42" s="41"/>
      <c r="P42" s="41">
        <f>P32*0.0055</f>
        <v>7957.455</v>
      </c>
      <c r="Q42" s="41"/>
      <c r="R42" s="41">
        <f>R32*0.0055</f>
        <v>7889.161499999999</v>
      </c>
      <c r="S42" s="41"/>
      <c r="T42" s="41">
        <f>T32*0.0034</f>
        <v>4876.9362</v>
      </c>
      <c r="U42" s="41"/>
    </row>
    <row r="43" spans="1:21" ht="12.75">
      <c r="A43" s="3"/>
      <c r="B43" s="4">
        <v>111</v>
      </c>
      <c r="C43" s="4">
        <v>2840</v>
      </c>
      <c r="D43" s="106" t="s">
        <v>166</v>
      </c>
      <c r="E43" s="6" t="s">
        <v>18</v>
      </c>
      <c r="F43" s="41">
        <f>SUM(F33)*0.0055</f>
        <v>445.79699999999997</v>
      </c>
      <c r="G43" s="120"/>
      <c r="H43" s="41">
        <f t="shared" si="1"/>
        <v>445.79699999999997</v>
      </c>
      <c r="J43" s="41">
        <f t="shared" si="2"/>
        <v>445.79699999999997</v>
      </c>
      <c r="K43" s="41">
        <f>K33*0.0055</f>
        <v>330</v>
      </c>
      <c r="N43" s="41">
        <f>N33*0.0055</f>
        <v>339.9</v>
      </c>
      <c r="O43" s="41"/>
      <c r="P43" s="41">
        <f>P33*0.0055</f>
        <v>339.9</v>
      </c>
      <c r="Q43" s="41"/>
      <c r="R43" s="41">
        <f>R33*0.0055</f>
        <v>1053.6185</v>
      </c>
      <c r="S43" s="41"/>
      <c r="T43" s="41">
        <f>T33*0.0034</f>
        <v>651.3277999999999</v>
      </c>
      <c r="U43" s="41"/>
    </row>
    <row r="44" spans="1:21" ht="12.75">
      <c r="A44" s="3"/>
      <c r="B44" s="4">
        <v>111</v>
      </c>
      <c r="C44" s="4">
        <v>2850</v>
      </c>
      <c r="D44" s="106" t="s">
        <v>164</v>
      </c>
      <c r="E44" s="6" t="s">
        <v>19</v>
      </c>
      <c r="F44" s="41">
        <v>45000</v>
      </c>
      <c r="G44" s="121">
        <v>-9000</v>
      </c>
      <c r="H44" s="41">
        <f t="shared" si="1"/>
        <v>36000</v>
      </c>
      <c r="I44" s="41">
        <v>-16000</v>
      </c>
      <c r="J44" s="41">
        <f t="shared" si="2"/>
        <v>20000</v>
      </c>
      <c r="K44" s="87">
        <f>9500*36*0.0573</f>
        <v>19596.6</v>
      </c>
      <c r="N44" s="87">
        <f>9500*37*0.0573</f>
        <v>20140.949999999997</v>
      </c>
      <c r="O44" s="87"/>
      <c r="P44" s="87">
        <f>9500*37*0.0573</f>
        <v>20140.949999999997</v>
      </c>
      <c r="Q44" s="87"/>
      <c r="R44" s="87">
        <f>9500*37*0.0815</f>
        <v>28647.25</v>
      </c>
      <c r="S44" s="87"/>
      <c r="T44" s="87">
        <f>9500*37*0.0815</f>
        <v>28647.25</v>
      </c>
      <c r="U44" s="87"/>
    </row>
    <row r="45" spans="1:21" ht="12.75">
      <c r="A45" s="3"/>
      <c r="B45" s="4">
        <v>111</v>
      </c>
      <c r="C45" s="4">
        <v>2850</v>
      </c>
      <c r="D45" s="106" t="s">
        <v>166</v>
      </c>
      <c r="E45" s="6" t="s">
        <v>19</v>
      </c>
      <c r="F45" s="41">
        <v>8956</v>
      </c>
      <c r="G45" s="120"/>
      <c r="H45" s="41">
        <f t="shared" si="1"/>
        <v>8956</v>
      </c>
      <c r="J45" s="41">
        <f t="shared" si="2"/>
        <v>8956</v>
      </c>
      <c r="K45" s="41">
        <f>9500*2*0.053</f>
        <v>1007</v>
      </c>
      <c r="N45" s="41">
        <f>9500*2*0.0573</f>
        <v>1088.7</v>
      </c>
      <c r="O45" s="41"/>
      <c r="P45" s="41">
        <f>9500*2*0.0573</f>
        <v>1088.7</v>
      </c>
      <c r="Q45" s="41"/>
      <c r="R45" s="41">
        <f>9500*2*0.0815</f>
        <v>1548.5</v>
      </c>
      <c r="S45" s="41"/>
      <c r="T45" s="41">
        <f>9500*6*0.0815</f>
        <v>4645.5</v>
      </c>
      <c r="U45" s="41"/>
    </row>
    <row r="46" spans="1:21" ht="12.75">
      <c r="A46" s="3"/>
      <c r="B46" s="4">
        <v>111</v>
      </c>
      <c r="C46" s="93">
        <v>3110</v>
      </c>
      <c r="D46" s="106" t="s">
        <v>164</v>
      </c>
      <c r="E46" s="94" t="s">
        <v>66</v>
      </c>
      <c r="F46" s="41">
        <v>35000</v>
      </c>
      <c r="G46" s="120"/>
      <c r="H46" s="41">
        <f t="shared" si="1"/>
        <v>35000</v>
      </c>
      <c r="I46" s="76">
        <v>-10000</v>
      </c>
      <c r="J46" s="41">
        <f t="shared" si="2"/>
        <v>25000</v>
      </c>
      <c r="K46" s="41">
        <v>25000</v>
      </c>
      <c r="N46" s="41">
        <v>25750</v>
      </c>
      <c r="O46" s="41"/>
      <c r="P46" s="41">
        <v>25750</v>
      </c>
      <c r="Q46" s="41"/>
      <c r="R46" s="41">
        <v>30139</v>
      </c>
      <c r="S46" s="41"/>
      <c r="T46" s="41">
        <v>31947</v>
      </c>
      <c r="U46" s="41"/>
    </row>
    <row r="47" spans="1:21" s="77" customFormat="1" ht="12.75">
      <c r="A47" s="3"/>
      <c r="B47" s="4">
        <v>111</v>
      </c>
      <c r="C47" s="93">
        <v>5110</v>
      </c>
      <c r="D47" s="106" t="s">
        <v>164</v>
      </c>
      <c r="E47" s="94" t="s">
        <v>22</v>
      </c>
      <c r="F47" s="76">
        <v>45000</v>
      </c>
      <c r="G47" s="122"/>
      <c r="H47" s="41">
        <f t="shared" si="1"/>
        <v>45000</v>
      </c>
      <c r="I47" s="76">
        <v>-16912</v>
      </c>
      <c r="J47" s="41">
        <f t="shared" si="2"/>
        <v>28088</v>
      </c>
      <c r="K47" s="41">
        <v>25539</v>
      </c>
      <c r="N47" s="41">
        <v>30000</v>
      </c>
      <c r="O47" s="41"/>
      <c r="P47" s="41">
        <v>40000</v>
      </c>
      <c r="Q47" s="41"/>
      <c r="R47" s="41">
        <v>40000</v>
      </c>
      <c r="S47" s="41"/>
      <c r="T47" s="41">
        <v>45000</v>
      </c>
      <c r="U47" s="41"/>
    </row>
    <row r="48" spans="1:21" s="77" customFormat="1" ht="12.75">
      <c r="A48" s="3"/>
      <c r="B48" s="4">
        <v>111</v>
      </c>
      <c r="C48" s="93">
        <v>5110</v>
      </c>
      <c r="D48" s="106" t="s">
        <v>163</v>
      </c>
      <c r="E48" s="94" t="s">
        <v>224</v>
      </c>
      <c r="F48" s="76"/>
      <c r="G48" s="122"/>
      <c r="H48" s="41"/>
      <c r="I48" s="41">
        <v>34000</v>
      </c>
      <c r="J48" s="41">
        <f t="shared" si="2"/>
        <v>34000</v>
      </c>
      <c r="K48" s="41">
        <v>39229</v>
      </c>
      <c r="N48" s="41">
        <v>39229</v>
      </c>
      <c r="O48" s="41"/>
      <c r="P48" s="41">
        <v>39229</v>
      </c>
      <c r="Q48" s="41"/>
      <c r="R48" s="41">
        <v>39229</v>
      </c>
      <c r="S48" s="41"/>
      <c r="T48" s="41">
        <v>39229</v>
      </c>
      <c r="U48" s="41"/>
    </row>
    <row r="49" spans="1:21" s="77" customFormat="1" ht="12.75">
      <c r="A49" s="3"/>
      <c r="B49" s="4">
        <v>111</v>
      </c>
      <c r="C49" s="4">
        <v>5210</v>
      </c>
      <c r="D49" s="106" t="s">
        <v>164</v>
      </c>
      <c r="E49" s="6" t="s">
        <v>23</v>
      </c>
      <c r="F49" s="76">
        <v>43000</v>
      </c>
      <c r="G49" s="76">
        <v>13000</v>
      </c>
      <c r="H49" s="41">
        <f>F49+G49</f>
        <v>56000</v>
      </c>
      <c r="I49" s="76">
        <v>16912</v>
      </c>
      <c r="J49" s="41">
        <f t="shared" si="2"/>
        <v>72912</v>
      </c>
      <c r="K49" s="41">
        <v>10000</v>
      </c>
      <c r="N49" s="41">
        <v>15000</v>
      </c>
      <c r="O49" s="41"/>
      <c r="P49" s="41">
        <v>70000</v>
      </c>
      <c r="Q49" s="41"/>
      <c r="R49" s="41">
        <v>50000</v>
      </c>
      <c r="S49" s="41"/>
      <c r="T49" s="41">
        <v>60000</v>
      </c>
      <c r="U49" s="41"/>
    </row>
    <row r="50" spans="1:21" ht="12.75">
      <c r="A50" s="3"/>
      <c r="B50" s="4">
        <v>111</v>
      </c>
      <c r="C50" s="4">
        <v>6410</v>
      </c>
      <c r="D50" s="106" t="s">
        <v>164</v>
      </c>
      <c r="E50" s="6" t="s">
        <v>25</v>
      </c>
      <c r="F50" s="41">
        <v>2500</v>
      </c>
      <c r="G50" s="120"/>
      <c r="H50" s="41">
        <f>F50+G50</f>
        <v>2500</v>
      </c>
      <c r="I50" s="76">
        <v>-2500</v>
      </c>
      <c r="J50" s="41">
        <f t="shared" si="2"/>
        <v>0</v>
      </c>
      <c r="K50" s="41">
        <v>2500</v>
      </c>
      <c r="N50" s="41">
        <v>1500</v>
      </c>
      <c r="O50" s="41"/>
      <c r="P50" s="41">
        <v>2000</v>
      </c>
      <c r="Q50" s="41"/>
      <c r="R50" s="41">
        <v>10000</v>
      </c>
      <c r="S50" s="41"/>
      <c r="T50" s="41">
        <v>10000</v>
      </c>
      <c r="U50" s="41"/>
    </row>
    <row r="51" spans="1:21" ht="12.75">
      <c r="A51" s="3"/>
      <c r="B51" s="4">
        <v>111</v>
      </c>
      <c r="C51" s="4">
        <v>7410</v>
      </c>
      <c r="D51" s="106" t="s">
        <v>164</v>
      </c>
      <c r="E51" s="6" t="s">
        <v>26</v>
      </c>
      <c r="F51" s="41">
        <v>500</v>
      </c>
      <c r="G51" s="120"/>
      <c r="H51" s="41">
        <f>F51+G51</f>
        <v>500</v>
      </c>
      <c r="J51" s="41">
        <f t="shared" si="2"/>
        <v>500</v>
      </c>
      <c r="K51" s="41">
        <v>500</v>
      </c>
      <c r="N51" s="41">
        <v>500</v>
      </c>
      <c r="O51" s="41"/>
      <c r="P51" s="41">
        <v>500</v>
      </c>
      <c r="Q51" s="41"/>
      <c r="R51" s="41">
        <v>500</v>
      </c>
      <c r="S51" s="41"/>
      <c r="T51" s="41">
        <v>500</v>
      </c>
      <c r="U51" s="41"/>
    </row>
    <row r="52" spans="1:21" ht="12.75">
      <c r="A52" s="3"/>
      <c r="B52" s="4">
        <v>111</v>
      </c>
      <c r="C52" s="4">
        <v>7910</v>
      </c>
      <c r="D52" s="106" t="s">
        <v>164</v>
      </c>
      <c r="E52" s="43" t="s">
        <v>0</v>
      </c>
      <c r="F52" s="41">
        <v>750</v>
      </c>
      <c r="G52" s="120"/>
      <c r="H52" s="41">
        <f>F52+G52</f>
        <v>750</v>
      </c>
      <c r="J52" s="41">
        <f t="shared" si="2"/>
        <v>750</v>
      </c>
      <c r="K52" s="41">
        <v>750</v>
      </c>
      <c r="N52" s="41">
        <v>750</v>
      </c>
      <c r="O52" s="41"/>
      <c r="P52" s="41">
        <v>750</v>
      </c>
      <c r="Q52" s="41"/>
      <c r="R52" s="41">
        <v>750</v>
      </c>
      <c r="S52" s="41"/>
      <c r="T52" s="41">
        <v>750</v>
      </c>
      <c r="U52" s="41"/>
    </row>
    <row r="53" spans="1:21" ht="13.5" thickBot="1">
      <c r="A53" s="165" t="s">
        <v>134</v>
      </c>
      <c r="B53" s="166"/>
      <c r="C53" s="166"/>
      <c r="D53" s="166"/>
      <c r="E53" s="166"/>
      <c r="F53" s="96">
        <f aca="true" t="shared" si="3" ref="F53:K53">SUM(F32:F52)</f>
        <v>2872387.1119999997</v>
      </c>
      <c r="G53" s="96">
        <f t="shared" si="3"/>
        <v>-336605.57399999996</v>
      </c>
      <c r="H53" s="96">
        <f t="shared" si="3"/>
        <v>2535781.5379999997</v>
      </c>
      <c r="I53" s="96">
        <f t="shared" si="3"/>
        <v>-316140.282</v>
      </c>
      <c r="J53" s="96">
        <f t="shared" si="3"/>
        <v>2219641.256</v>
      </c>
      <c r="K53" s="96">
        <f t="shared" si="3"/>
        <v>1828443.6</v>
      </c>
      <c r="N53" s="96">
        <f>SUM(N32:N52)</f>
        <v>1980462.8699999999</v>
      </c>
      <c r="O53" s="125"/>
      <c r="P53" s="96">
        <f>SUM(P32:P52)</f>
        <v>2055540.8699999999</v>
      </c>
      <c r="Q53" s="125"/>
      <c r="R53" s="96">
        <f>SUM(R32:R52)</f>
        <v>2196888.3400000003</v>
      </c>
      <c r="S53" s="125"/>
      <c r="T53" s="96">
        <f>SUM(T32:T52)</f>
        <v>2222945.2940000007</v>
      </c>
      <c r="U53" s="125"/>
    </row>
    <row r="54" spans="1:21" ht="12.75">
      <c r="A54" s="3"/>
      <c r="B54" s="4">
        <v>112</v>
      </c>
      <c r="C54" s="4">
        <v>1240</v>
      </c>
      <c r="D54" s="106" t="s">
        <v>164</v>
      </c>
      <c r="E54" s="6" t="s">
        <v>14</v>
      </c>
      <c r="F54" s="41">
        <v>677495</v>
      </c>
      <c r="G54" s="41">
        <v>-210000</v>
      </c>
      <c r="H54" s="41">
        <f>F54+G54</f>
        <v>467495</v>
      </c>
      <c r="I54" s="41">
        <v>185572</v>
      </c>
      <c r="J54" s="41">
        <f aca="true" t="shared" si="4" ref="J54:J59">H54+I54</f>
        <v>653067</v>
      </c>
      <c r="K54" s="41">
        <f>42500*15</f>
        <v>637500</v>
      </c>
      <c r="N54" s="41">
        <v>691966</v>
      </c>
      <c r="O54" s="41"/>
      <c r="P54" s="41">
        <v>740966</v>
      </c>
      <c r="Q54" s="41"/>
      <c r="R54" s="41">
        <v>763195</v>
      </c>
      <c r="S54" s="41"/>
      <c r="T54" s="41">
        <v>763195</v>
      </c>
      <c r="U54" s="41"/>
    </row>
    <row r="55" spans="1:21" ht="12.75">
      <c r="A55" s="3"/>
      <c r="B55" s="4">
        <v>112</v>
      </c>
      <c r="C55" s="4">
        <v>1290</v>
      </c>
      <c r="D55" s="106" t="s">
        <v>166</v>
      </c>
      <c r="E55" s="6" t="s">
        <v>89</v>
      </c>
      <c r="F55" s="41">
        <v>52000</v>
      </c>
      <c r="H55" s="41">
        <f>F55+G55</f>
        <v>52000</v>
      </c>
      <c r="J55" s="41">
        <f t="shared" si="4"/>
        <v>52000</v>
      </c>
      <c r="K55" s="41">
        <v>13454</v>
      </c>
      <c r="N55" s="41"/>
      <c r="O55" s="41"/>
      <c r="P55" s="41"/>
      <c r="Q55" s="41"/>
      <c r="R55" s="41"/>
      <c r="S55" s="41"/>
      <c r="T55" s="41"/>
      <c r="U55" s="41"/>
    </row>
    <row r="56" spans="1:21" ht="12.75">
      <c r="A56" s="3"/>
      <c r="B56" s="4">
        <v>112</v>
      </c>
      <c r="C56" s="4">
        <v>2110</v>
      </c>
      <c r="D56" s="106" t="s">
        <v>164</v>
      </c>
      <c r="E56" s="6" t="s">
        <v>64</v>
      </c>
      <c r="F56" s="41">
        <v>2000</v>
      </c>
      <c r="H56" s="41">
        <f>F56+G56</f>
        <v>2000</v>
      </c>
      <c r="J56" s="41">
        <f t="shared" si="4"/>
        <v>2000</v>
      </c>
      <c r="K56" s="41">
        <v>1900</v>
      </c>
      <c r="N56" s="41">
        <v>1900</v>
      </c>
      <c r="O56" s="41"/>
      <c r="P56" s="41">
        <v>1900</v>
      </c>
      <c r="Q56" s="41"/>
      <c r="R56" s="41">
        <v>1900</v>
      </c>
      <c r="S56" s="41"/>
      <c r="T56" s="41">
        <v>1900</v>
      </c>
      <c r="U56" s="41"/>
    </row>
    <row r="57" spans="1:21" ht="12.75">
      <c r="A57" s="3"/>
      <c r="B57" s="4">
        <v>112</v>
      </c>
      <c r="C57" s="4">
        <v>2110</v>
      </c>
      <c r="D57" s="106" t="s">
        <v>166</v>
      </c>
      <c r="E57" s="6" t="s">
        <v>64</v>
      </c>
      <c r="F57" s="41"/>
      <c r="H57" s="41"/>
      <c r="I57" s="37">
        <v>346</v>
      </c>
      <c r="J57" s="41">
        <f t="shared" si="4"/>
        <v>346</v>
      </c>
      <c r="K57" s="41">
        <v>250</v>
      </c>
      <c r="N57" s="41"/>
      <c r="O57" s="41"/>
      <c r="P57" s="41"/>
      <c r="Q57" s="41"/>
      <c r="R57" s="41"/>
      <c r="S57" s="41"/>
      <c r="T57" s="41"/>
      <c r="U57" s="41"/>
    </row>
    <row r="58" spans="1:21" ht="12.75">
      <c r="A58" s="3"/>
      <c r="B58" s="4">
        <v>112</v>
      </c>
      <c r="C58" s="4">
        <v>2130</v>
      </c>
      <c r="D58" s="106" t="s">
        <v>164</v>
      </c>
      <c r="E58" s="6" t="s">
        <v>15</v>
      </c>
      <c r="F58" s="41">
        <v>55000</v>
      </c>
      <c r="H58" s="41">
        <f aca="true" t="shared" si="5" ref="H58:H73">F58+G58</f>
        <v>55000</v>
      </c>
      <c r="J58" s="41">
        <f t="shared" si="4"/>
        <v>55000</v>
      </c>
      <c r="K58" s="41">
        <v>80000</v>
      </c>
      <c r="N58" s="41">
        <v>84000</v>
      </c>
      <c r="O58" s="41"/>
      <c r="P58" s="41">
        <v>88200</v>
      </c>
      <c r="Q58" s="41"/>
      <c r="R58" s="41">
        <v>92610</v>
      </c>
      <c r="S58" s="41"/>
      <c r="T58" s="41">
        <v>97241</v>
      </c>
      <c r="U58" s="41"/>
    </row>
    <row r="59" spans="1:21" ht="12.75">
      <c r="A59" s="3"/>
      <c r="B59" s="4">
        <v>112</v>
      </c>
      <c r="C59" s="4">
        <v>2130</v>
      </c>
      <c r="D59" s="106" t="s">
        <v>166</v>
      </c>
      <c r="E59" s="6" t="s">
        <v>15</v>
      </c>
      <c r="F59" s="41">
        <v>6400</v>
      </c>
      <c r="H59" s="41">
        <f t="shared" si="5"/>
        <v>6400</v>
      </c>
      <c r="J59" s="41">
        <f t="shared" si="4"/>
        <v>6400</v>
      </c>
      <c r="K59" s="41">
        <v>6043</v>
      </c>
      <c r="N59" s="41">
        <v>6345</v>
      </c>
      <c r="O59" s="41"/>
      <c r="P59" s="41">
        <v>6662</v>
      </c>
      <c r="Q59" s="41"/>
      <c r="R59" s="41">
        <v>6995</v>
      </c>
      <c r="S59" s="41"/>
      <c r="T59" s="41">
        <v>7345</v>
      </c>
      <c r="U59" s="41"/>
    </row>
    <row r="60" spans="1:21" ht="12.75">
      <c r="A60" s="3"/>
      <c r="B60" s="4">
        <v>112</v>
      </c>
      <c r="C60" s="4">
        <v>2820</v>
      </c>
      <c r="D60" s="106" t="s">
        <v>164</v>
      </c>
      <c r="E60" s="6" t="s">
        <v>16</v>
      </c>
      <c r="F60" s="41">
        <f>SUM(F54)*0.06</f>
        <v>40649.7</v>
      </c>
      <c r="G60" s="41">
        <f>SUM(G54)*0.06-3000</f>
        <v>-15600</v>
      </c>
      <c r="H60" s="41">
        <f t="shared" si="5"/>
        <v>25049.699999999997</v>
      </c>
      <c r="I60" s="41">
        <f>J60-H60</f>
        <v>-5457.689999999999</v>
      </c>
      <c r="J60" s="41">
        <f>J54*0.03</f>
        <v>19592.01</v>
      </c>
      <c r="K60" s="41">
        <f>K54*0.02</f>
        <v>12750</v>
      </c>
      <c r="N60" s="41">
        <f>N54*0.02</f>
        <v>13839.32</v>
      </c>
      <c r="O60" s="41"/>
      <c r="P60" s="41">
        <f>P54*0.02</f>
        <v>14819.32</v>
      </c>
      <c r="Q60" s="41"/>
      <c r="R60" s="41">
        <f>R54*0.02</f>
        <v>15263.9</v>
      </c>
      <c r="S60" s="41"/>
      <c r="T60" s="41">
        <f>T54*0.02</f>
        <v>15263.9</v>
      </c>
      <c r="U60" s="41"/>
    </row>
    <row r="61" spans="1:21" ht="12.75">
      <c r="A61" s="3"/>
      <c r="B61" s="4">
        <v>112</v>
      </c>
      <c r="C61" s="4">
        <v>2820</v>
      </c>
      <c r="D61" s="106" t="s">
        <v>166</v>
      </c>
      <c r="E61" s="6" t="s">
        <v>16</v>
      </c>
      <c r="F61" s="41">
        <f>SUM(F55)*0.06</f>
        <v>3120</v>
      </c>
      <c r="H61" s="41">
        <f t="shared" si="5"/>
        <v>3120</v>
      </c>
      <c r="I61" s="37">
        <v>-346</v>
      </c>
      <c r="J61" s="41">
        <f aca="true" t="shared" si="6" ref="J61:J73">H61+I61</f>
        <v>2774</v>
      </c>
      <c r="K61" s="41">
        <f>K55*0.03</f>
        <v>403.62</v>
      </c>
      <c r="N61" s="41"/>
      <c r="O61" s="41"/>
      <c r="P61" s="41"/>
      <c r="Q61" s="41"/>
      <c r="R61" s="41"/>
      <c r="S61" s="41"/>
      <c r="T61" s="41"/>
      <c r="U61" s="41"/>
    </row>
    <row r="62" spans="1:21" ht="12.75">
      <c r="A62" s="3"/>
      <c r="B62" s="4">
        <v>112</v>
      </c>
      <c r="C62" s="4">
        <v>2830</v>
      </c>
      <c r="D62" s="106" t="s">
        <v>164</v>
      </c>
      <c r="E62" s="6" t="s">
        <v>17</v>
      </c>
      <c r="F62" s="41">
        <f>SUM(F54)*0.0765</f>
        <v>51828.3675</v>
      </c>
      <c r="G62" s="41">
        <f>SUM(G54)*0.0765</f>
        <v>-16065</v>
      </c>
      <c r="H62" s="41">
        <f t="shared" si="5"/>
        <v>35763.3675</v>
      </c>
      <c r="I62" s="41">
        <f>I54*0.0765</f>
        <v>14196.258</v>
      </c>
      <c r="J62" s="41">
        <f t="shared" si="6"/>
        <v>49959.6255</v>
      </c>
      <c r="K62" s="41">
        <f>K54*0.0765</f>
        <v>48768.75</v>
      </c>
      <c r="N62" s="41">
        <f>N54*0.0765</f>
        <v>52935.399</v>
      </c>
      <c r="O62" s="41"/>
      <c r="P62" s="41">
        <f>P54*0.0765</f>
        <v>56683.899</v>
      </c>
      <c r="Q62" s="41"/>
      <c r="R62" s="41">
        <f>R54*0.0765</f>
        <v>58384.417499999996</v>
      </c>
      <c r="S62" s="41"/>
      <c r="T62" s="41">
        <f>T54*0.0765</f>
        <v>58384.417499999996</v>
      </c>
      <c r="U62" s="41"/>
    </row>
    <row r="63" spans="1:21" ht="12.75">
      <c r="A63" s="3"/>
      <c r="B63" s="4">
        <v>112</v>
      </c>
      <c r="C63" s="4">
        <v>2830</v>
      </c>
      <c r="D63" s="106" t="s">
        <v>166</v>
      </c>
      <c r="E63" s="6" t="s">
        <v>17</v>
      </c>
      <c r="F63" s="41">
        <f>SUM(F55*0.0765)</f>
        <v>3978</v>
      </c>
      <c r="H63" s="41">
        <f t="shared" si="5"/>
        <v>3978</v>
      </c>
      <c r="J63" s="41">
        <f t="shared" si="6"/>
        <v>3978</v>
      </c>
      <c r="K63" s="41">
        <f>K55*0.0765</f>
        <v>1029.231</v>
      </c>
      <c r="N63" s="41"/>
      <c r="O63" s="41"/>
      <c r="P63" s="41"/>
      <c r="Q63" s="41"/>
      <c r="R63" s="41"/>
      <c r="S63" s="41"/>
      <c r="T63" s="41"/>
      <c r="U63" s="41"/>
    </row>
    <row r="64" spans="1:21" ht="12.75">
      <c r="A64" s="3"/>
      <c r="B64" s="4">
        <v>112</v>
      </c>
      <c r="C64" s="4">
        <v>2840</v>
      </c>
      <c r="D64" s="106" t="s">
        <v>164</v>
      </c>
      <c r="E64" s="6" t="s">
        <v>18</v>
      </c>
      <c r="F64" s="41">
        <f>SUM(F54)*0.0055</f>
        <v>3726.2225</v>
      </c>
      <c r="G64" s="41">
        <f>SUM(G54)*0.0055</f>
        <v>-1155</v>
      </c>
      <c r="H64" s="41">
        <f t="shared" si="5"/>
        <v>2571.2225</v>
      </c>
      <c r="I64" s="41">
        <f>I54*0.0055</f>
        <v>1020.646</v>
      </c>
      <c r="J64" s="41">
        <f t="shared" si="6"/>
        <v>3591.8684999999996</v>
      </c>
      <c r="K64" s="41">
        <f>K54*0.0055</f>
        <v>3506.25</v>
      </c>
      <c r="N64" s="41">
        <f>N54*0.0055</f>
        <v>3805.8129999999996</v>
      </c>
      <c r="O64" s="41"/>
      <c r="P64" s="41">
        <f>P54*0.0055</f>
        <v>4075.3129999999996</v>
      </c>
      <c r="Q64" s="41"/>
      <c r="R64" s="41">
        <f>R54*0.0055</f>
        <v>4197.572499999999</v>
      </c>
      <c r="S64" s="41"/>
      <c r="T64" s="41">
        <f>T54*0.0034</f>
        <v>2594.863</v>
      </c>
      <c r="U64" s="41"/>
    </row>
    <row r="65" spans="1:21" ht="12.75">
      <c r="A65" s="3"/>
      <c r="B65" s="4">
        <v>112</v>
      </c>
      <c r="C65" s="4">
        <v>2840</v>
      </c>
      <c r="D65" s="106" t="s">
        <v>166</v>
      </c>
      <c r="E65" s="6" t="s">
        <v>18</v>
      </c>
      <c r="F65" s="41">
        <f>SUM(F55*0.0055)</f>
        <v>286</v>
      </c>
      <c r="H65" s="41">
        <f t="shared" si="5"/>
        <v>286</v>
      </c>
      <c r="J65" s="41">
        <f t="shared" si="6"/>
        <v>286</v>
      </c>
      <c r="K65" s="41">
        <f>K55*0.0055</f>
        <v>73.997</v>
      </c>
      <c r="N65" s="41"/>
      <c r="O65" s="41"/>
      <c r="P65" s="41"/>
      <c r="Q65" s="41"/>
      <c r="R65" s="41"/>
      <c r="S65" s="41"/>
      <c r="T65" s="41"/>
      <c r="U65" s="41"/>
    </row>
    <row r="66" spans="1:21" ht="12.75">
      <c r="A66" s="3"/>
      <c r="B66" s="4">
        <v>112</v>
      </c>
      <c r="C66" s="4">
        <v>2850</v>
      </c>
      <c r="D66" s="106" t="s">
        <v>164</v>
      </c>
      <c r="E66" s="6" t="s">
        <v>19</v>
      </c>
      <c r="F66" s="41">
        <v>11934</v>
      </c>
      <c r="G66" s="41">
        <v>-3134</v>
      </c>
      <c r="H66" s="41">
        <f t="shared" si="5"/>
        <v>8800</v>
      </c>
      <c r="I66" s="41">
        <v>-2000</v>
      </c>
      <c r="J66" s="41">
        <f t="shared" si="6"/>
        <v>6800</v>
      </c>
      <c r="K66" s="87">
        <f>9500*16*0.0573</f>
        <v>8709.6</v>
      </c>
      <c r="N66" s="87">
        <f>9500*15*0.0573</f>
        <v>8165.249999999999</v>
      </c>
      <c r="O66" s="87"/>
      <c r="P66" s="87">
        <f>9500*17*0.0573</f>
        <v>9253.949999999999</v>
      </c>
      <c r="Q66" s="87"/>
      <c r="R66" s="87">
        <f>9500*17*0.0573</f>
        <v>9253.949999999999</v>
      </c>
      <c r="S66" s="87"/>
      <c r="T66" s="87">
        <f>9500*17*0.0815</f>
        <v>13162.25</v>
      </c>
      <c r="U66" s="87"/>
    </row>
    <row r="67" spans="1:21" ht="12.75">
      <c r="A67" s="3"/>
      <c r="B67" s="4">
        <v>112</v>
      </c>
      <c r="C67" s="4">
        <v>2850</v>
      </c>
      <c r="D67" s="106" t="s">
        <v>166</v>
      </c>
      <c r="E67" s="6" t="s">
        <v>19</v>
      </c>
      <c r="F67" s="41">
        <v>1989</v>
      </c>
      <c r="H67" s="41">
        <f t="shared" si="5"/>
        <v>1989</v>
      </c>
      <c r="J67" s="41">
        <f t="shared" si="6"/>
        <v>1989</v>
      </c>
      <c r="K67" s="41">
        <f>9500*0.0573</f>
        <v>544.35</v>
      </c>
      <c r="N67" s="41">
        <f>9500*0.0573</f>
        <v>544.35</v>
      </c>
      <c r="O67" s="41"/>
      <c r="P67" s="41">
        <f>9500*0.0573</f>
        <v>544.35</v>
      </c>
      <c r="Q67" s="41"/>
      <c r="R67" s="41">
        <f>9500*0.0573</f>
        <v>544.35</v>
      </c>
      <c r="S67" s="41"/>
      <c r="T67" s="41">
        <f>9500*0.0815</f>
        <v>774.25</v>
      </c>
      <c r="U67" s="41"/>
    </row>
    <row r="68" spans="1:21" ht="12.75">
      <c r="A68" s="3"/>
      <c r="B68" s="4">
        <v>112</v>
      </c>
      <c r="C68" s="4">
        <v>3110</v>
      </c>
      <c r="D68" s="106" t="s">
        <v>164</v>
      </c>
      <c r="E68" s="6" t="s">
        <v>66</v>
      </c>
      <c r="F68" s="41">
        <v>13000</v>
      </c>
      <c r="H68" s="41">
        <f t="shared" si="5"/>
        <v>13000</v>
      </c>
      <c r="J68" s="41">
        <f t="shared" si="6"/>
        <v>13000</v>
      </c>
      <c r="K68" s="87">
        <v>13000</v>
      </c>
      <c r="N68" s="87">
        <v>13390</v>
      </c>
      <c r="O68" s="87"/>
      <c r="P68" s="87">
        <v>13390</v>
      </c>
      <c r="Q68" s="87"/>
      <c r="R68" s="87">
        <v>13792</v>
      </c>
      <c r="S68" s="87"/>
      <c r="T68" s="87">
        <v>14193</v>
      </c>
      <c r="U68" s="87"/>
    </row>
    <row r="69" spans="1:10" ht="12.75" hidden="1">
      <c r="A69" s="3"/>
      <c r="B69" s="4">
        <v>112</v>
      </c>
      <c r="C69" s="4">
        <v>3110</v>
      </c>
      <c r="D69" s="106" t="s">
        <v>164</v>
      </c>
      <c r="E69" s="6" t="s">
        <v>195</v>
      </c>
      <c r="F69" s="41">
        <v>95000</v>
      </c>
      <c r="H69" s="41">
        <f t="shared" si="5"/>
        <v>95000</v>
      </c>
      <c r="I69" s="41">
        <v>260000</v>
      </c>
      <c r="J69" s="41">
        <f t="shared" si="6"/>
        <v>355000</v>
      </c>
    </row>
    <row r="70" spans="1:21" s="77" customFormat="1" ht="12.75">
      <c r="A70" s="3"/>
      <c r="B70" s="4">
        <v>112</v>
      </c>
      <c r="C70" s="4">
        <v>5110</v>
      </c>
      <c r="D70" s="106" t="s">
        <v>164</v>
      </c>
      <c r="E70" s="6" t="s">
        <v>22</v>
      </c>
      <c r="F70" s="76">
        <v>23000</v>
      </c>
      <c r="H70" s="41">
        <f t="shared" si="5"/>
        <v>23000</v>
      </c>
      <c r="J70" s="41">
        <f t="shared" si="6"/>
        <v>23000</v>
      </c>
      <c r="K70" s="87">
        <v>10000</v>
      </c>
      <c r="N70" s="87">
        <v>15000</v>
      </c>
      <c r="O70" s="87"/>
      <c r="P70" s="87">
        <v>25000</v>
      </c>
      <c r="Q70" s="87"/>
      <c r="R70" s="87">
        <v>35000</v>
      </c>
      <c r="S70" s="87"/>
      <c r="T70" s="87">
        <v>37000</v>
      </c>
      <c r="U70" s="87"/>
    </row>
    <row r="71" spans="1:21" s="77" customFormat="1" ht="12.75">
      <c r="A71" s="3"/>
      <c r="B71" s="4">
        <v>112</v>
      </c>
      <c r="C71" s="4">
        <v>5210</v>
      </c>
      <c r="D71" s="106" t="s">
        <v>164</v>
      </c>
      <c r="E71" s="6" t="s">
        <v>23</v>
      </c>
      <c r="F71" s="76">
        <v>38000</v>
      </c>
      <c r="H71" s="41">
        <f t="shared" si="5"/>
        <v>38000</v>
      </c>
      <c r="J71" s="41">
        <f t="shared" si="6"/>
        <v>38000</v>
      </c>
      <c r="K71" s="87">
        <v>4000</v>
      </c>
      <c r="N71" s="87">
        <v>10000</v>
      </c>
      <c r="O71" s="87"/>
      <c r="P71" s="87">
        <v>60000</v>
      </c>
      <c r="Q71" s="87"/>
      <c r="R71" s="87">
        <v>50000</v>
      </c>
      <c r="S71" s="87"/>
      <c r="T71" s="87">
        <v>50000</v>
      </c>
      <c r="U71" s="87"/>
    </row>
    <row r="72" spans="1:21" ht="12.75">
      <c r="A72" s="3"/>
      <c r="B72" s="4">
        <v>112</v>
      </c>
      <c r="C72" s="4">
        <v>6410</v>
      </c>
      <c r="D72" s="106" t="s">
        <v>164</v>
      </c>
      <c r="E72" s="6" t="s">
        <v>25</v>
      </c>
      <c r="F72" s="41">
        <v>2500</v>
      </c>
      <c r="H72" s="41">
        <f t="shared" si="5"/>
        <v>2500</v>
      </c>
      <c r="J72" s="41">
        <f t="shared" si="6"/>
        <v>2500</v>
      </c>
      <c r="K72" s="87">
        <v>2500</v>
      </c>
      <c r="N72" s="87">
        <v>1000</v>
      </c>
      <c r="O72" s="87"/>
      <c r="P72" s="87">
        <v>1000</v>
      </c>
      <c r="Q72" s="87"/>
      <c r="R72" s="87">
        <v>5000</v>
      </c>
      <c r="S72" s="87"/>
      <c r="T72" s="87">
        <v>5000</v>
      </c>
      <c r="U72" s="87"/>
    </row>
    <row r="73" spans="1:21" ht="12.75">
      <c r="A73" s="3"/>
      <c r="B73" s="4">
        <v>112</v>
      </c>
      <c r="C73" s="4">
        <v>7410</v>
      </c>
      <c r="D73" s="106" t="s">
        <v>164</v>
      </c>
      <c r="E73" s="6" t="s">
        <v>26</v>
      </c>
      <c r="F73" s="41">
        <v>500</v>
      </c>
      <c r="H73" s="41">
        <f t="shared" si="5"/>
        <v>500</v>
      </c>
      <c r="J73" s="41">
        <f t="shared" si="6"/>
        <v>500</v>
      </c>
      <c r="K73" s="87">
        <v>1600</v>
      </c>
      <c r="N73" s="87">
        <v>1600</v>
      </c>
      <c r="O73" s="87"/>
      <c r="P73" s="87">
        <v>1600</v>
      </c>
      <c r="Q73" s="87"/>
      <c r="R73" s="87">
        <v>1600</v>
      </c>
      <c r="S73" s="87"/>
      <c r="T73" s="87">
        <v>1600</v>
      </c>
      <c r="U73" s="87"/>
    </row>
    <row r="74" spans="1:21" ht="12.75">
      <c r="A74" s="3"/>
      <c r="B74" s="4">
        <v>112</v>
      </c>
      <c r="C74" s="4">
        <v>7910</v>
      </c>
      <c r="D74" s="106" t="s">
        <v>164</v>
      </c>
      <c r="E74" s="43" t="s">
        <v>0</v>
      </c>
      <c r="F74" s="37"/>
      <c r="G74" s="37"/>
      <c r="H74" s="37"/>
      <c r="I74" s="37">
        <v>750</v>
      </c>
      <c r="J74" s="37">
        <v>750</v>
      </c>
      <c r="K74" s="87">
        <v>1000</v>
      </c>
      <c r="N74" s="87">
        <v>1000</v>
      </c>
      <c r="O74" s="87"/>
      <c r="P74" s="87">
        <v>1000</v>
      </c>
      <c r="Q74" s="87"/>
      <c r="R74" s="87">
        <v>1000</v>
      </c>
      <c r="S74" s="87"/>
      <c r="T74" s="87">
        <v>1000</v>
      </c>
      <c r="U74" s="87"/>
    </row>
    <row r="75" spans="1:6" ht="12.75" hidden="1">
      <c r="A75" s="3"/>
      <c r="B75" s="4">
        <v>111</v>
      </c>
      <c r="C75" s="4">
        <v>3220</v>
      </c>
      <c r="D75" s="4"/>
      <c r="E75" s="6" t="s">
        <v>20</v>
      </c>
      <c r="F75" s="41"/>
    </row>
    <row r="76" spans="1:6" ht="12.75" hidden="1">
      <c r="A76" s="3"/>
      <c r="B76" s="4">
        <v>112</v>
      </c>
      <c r="C76" s="4">
        <v>3220</v>
      </c>
      <c r="D76" s="4"/>
      <c r="E76" s="6" t="s">
        <v>20</v>
      </c>
      <c r="F76" s="41"/>
    </row>
    <row r="77" spans="1:6" ht="12.75" hidden="1">
      <c r="A77" s="3"/>
      <c r="B77" s="4">
        <v>113</v>
      </c>
      <c r="C77" s="4">
        <v>3220</v>
      </c>
      <c r="D77" s="4"/>
      <c r="E77" s="6" t="s">
        <v>20</v>
      </c>
      <c r="F77" s="41"/>
    </row>
    <row r="78" spans="1:21" ht="13.5" thickBot="1">
      <c r="A78" s="165" t="s">
        <v>135</v>
      </c>
      <c r="B78" s="166"/>
      <c r="C78" s="166"/>
      <c r="D78" s="166"/>
      <c r="E78" s="166"/>
      <c r="F78" s="96">
        <f>SUM(F54:F73)</f>
        <v>1082406.29</v>
      </c>
      <c r="G78" s="96">
        <f>SUM(G54:G73)</f>
        <v>-245954</v>
      </c>
      <c r="H78" s="96">
        <f>SUM(H54:H73)</f>
        <v>836452.29</v>
      </c>
      <c r="I78" s="96">
        <f>SUM(I54:I73)</f>
        <v>453331.21400000004</v>
      </c>
      <c r="J78" s="96">
        <f>SUM(J54:J73)</f>
        <v>1289783.504</v>
      </c>
      <c r="K78" s="96">
        <f>SUM(K54:K74)</f>
        <v>847032.798</v>
      </c>
      <c r="N78" s="96">
        <f>SUM(N54:N74)</f>
        <v>905491.1319999999</v>
      </c>
      <c r="O78" s="125"/>
      <c r="P78" s="96">
        <f>SUM(P54:P74)</f>
        <v>1025094.8319999998</v>
      </c>
      <c r="Q78" s="125"/>
      <c r="R78" s="96">
        <f>SUM(R54:R74)</f>
        <v>1058736.19</v>
      </c>
      <c r="S78" s="125"/>
      <c r="T78" s="96">
        <f>SUM(T54:T74)</f>
        <v>1068653.6805</v>
      </c>
      <c r="U78" s="125"/>
    </row>
    <row r="79" spans="1:6" ht="0.75" customHeight="1">
      <c r="A79" s="3"/>
      <c r="B79" s="4">
        <v>113</v>
      </c>
      <c r="C79" s="4">
        <v>1240</v>
      </c>
      <c r="D79" s="106" t="s">
        <v>164</v>
      </c>
      <c r="E79" s="6" t="s">
        <v>14</v>
      </c>
      <c r="F79" s="41"/>
    </row>
    <row r="80" spans="1:6" ht="12.75" hidden="1">
      <c r="A80" s="3"/>
      <c r="B80" s="4">
        <v>113</v>
      </c>
      <c r="C80" s="4">
        <v>1290</v>
      </c>
      <c r="D80" s="106" t="s">
        <v>164</v>
      </c>
      <c r="E80" s="6" t="s">
        <v>89</v>
      </c>
      <c r="F80" s="41"/>
    </row>
    <row r="81" spans="1:6" ht="12.75" hidden="1">
      <c r="A81" s="3"/>
      <c r="B81" s="4">
        <v>113</v>
      </c>
      <c r="C81" s="4">
        <v>1790</v>
      </c>
      <c r="D81" s="106" t="s">
        <v>169</v>
      </c>
      <c r="E81" s="94" t="s">
        <v>170</v>
      </c>
      <c r="F81" s="41"/>
    </row>
    <row r="82" spans="1:6" ht="12.75" hidden="1">
      <c r="A82" s="3"/>
      <c r="B82" s="4">
        <v>113</v>
      </c>
      <c r="C82" s="4">
        <v>1790</v>
      </c>
      <c r="D82" s="106" t="s">
        <v>172</v>
      </c>
      <c r="E82" s="94" t="s">
        <v>171</v>
      </c>
      <c r="F82" s="41"/>
    </row>
    <row r="83" spans="1:6" ht="12.75" hidden="1">
      <c r="A83" s="3"/>
      <c r="B83" s="4">
        <v>113</v>
      </c>
      <c r="C83" s="4">
        <v>2110</v>
      </c>
      <c r="D83" s="106" t="s">
        <v>164</v>
      </c>
      <c r="E83" s="6" t="s">
        <v>64</v>
      </c>
      <c r="F83" s="41"/>
    </row>
    <row r="84" spans="1:6" ht="12.75" hidden="1">
      <c r="A84" s="3"/>
      <c r="B84" s="4">
        <v>113</v>
      </c>
      <c r="C84" s="90">
        <v>2120</v>
      </c>
      <c r="D84" s="106" t="s">
        <v>164</v>
      </c>
      <c r="E84" s="91" t="s">
        <v>65</v>
      </c>
      <c r="F84" s="41"/>
    </row>
    <row r="85" spans="1:6" ht="12.75" hidden="1">
      <c r="A85" s="3"/>
      <c r="B85" s="4">
        <v>113</v>
      </c>
      <c r="C85" s="4">
        <v>2130</v>
      </c>
      <c r="D85" s="106" t="s">
        <v>164</v>
      </c>
      <c r="E85" s="6" t="s">
        <v>15</v>
      </c>
      <c r="F85" s="41"/>
    </row>
    <row r="86" spans="1:6" ht="12.75" hidden="1">
      <c r="A86" s="3"/>
      <c r="B86" s="4">
        <v>113</v>
      </c>
      <c r="C86" s="4">
        <v>2820</v>
      </c>
      <c r="D86" s="106" t="s">
        <v>164</v>
      </c>
      <c r="E86" s="6" t="s">
        <v>16</v>
      </c>
      <c r="F86" s="41"/>
    </row>
    <row r="87" spans="1:6" ht="12.75" hidden="1">
      <c r="A87" s="3"/>
      <c r="B87" s="4">
        <v>113</v>
      </c>
      <c r="C87" s="4">
        <v>2830</v>
      </c>
      <c r="D87" s="106" t="s">
        <v>164</v>
      </c>
      <c r="E87" s="6" t="s">
        <v>17</v>
      </c>
      <c r="F87" s="41"/>
    </row>
    <row r="88" spans="1:6" ht="12.75" hidden="1">
      <c r="A88" s="3"/>
      <c r="B88" s="4">
        <v>113</v>
      </c>
      <c r="C88" s="4">
        <v>2840</v>
      </c>
      <c r="D88" s="106" t="s">
        <v>164</v>
      </c>
      <c r="E88" s="6" t="s">
        <v>18</v>
      </c>
      <c r="F88" s="41"/>
    </row>
    <row r="89" spans="1:6" ht="12.75" hidden="1">
      <c r="A89" s="3"/>
      <c r="B89" s="4">
        <v>113</v>
      </c>
      <c r="C89" s="4">
        <v>2850</v>
      </c>
      <c r="D89" s="106" t="s">
        <v>164</v>
      </c>
      <c r="E89" s="6" t="s">
        <v>19</v>
      </c>
      <c r="F89" s="41"/>
    </row>
    <row r="90" spans="1:6" ht="12.75" hidden="1">
      <c r="A90" s="3"/>
      <c r="B90" s="4">
        <v>113</v>
      </c>
      <c r="C90" s="4">
        <v>3110</v>
      </c>
      <c r="D90" s="106" t="s">
        <v>164</v>
      </c>
      <c r="E90" s="6" t="s">
        <v>66</v>
      </c>
      <c r="F90" s="41"/>
    </row>
    <row r="91" spans="1:6" ht="12.75" hidden="1">
      <c r="A91" s="3"/>
      <c r="B91" s="4">
        <v>113</v>
      </c>
      <c r="C91" s="4">
        <v>3110</v>
      </c>
      <c r="D91" s="106" t="s">
        <v>169</v>
      </c>
      <c r="E91" s="6" t="s">
        <v>66</v>
      </c>
      <c r="F91" s="41"/>
    </row>
    <row r="92" spans="1:6" ht="12.75" hidden="1">
      <c r="A92" s="3"/>
      <c r="B92" s="4">
        <v>113</v>
      </c>
      <c r="C92" s="4">
        <v>3610</v>
      </c>
      <c r="D92" s="106" t="s">
        <v>164</v>
      </c>
      <c r="E92" s="6" t="s">
        <v>21</v>
      </c>
      <c r="F92" s="41"/>
    </row>
    <row r="93" spans="1:6" s="77" customFormat="1" ht="12.75" hidden="1">
      <c r="A93" s="3"/>
      <c r="B93" s="4">
        <v>113</v>
      </c>
      <c r="C93" s="4">
        <v>5110</v>
      </c>
      <c r="D93" s="106" t="s">
        <v>164</v>
      </c>
      <c r="E93" s="6" t="s">
        <v>22</v>
      </c>
      <c r="F93" s="76"/>
    </row>
    <row r="94" spans="1:6" s="77" customFormat="1" ht="12.75" hidden="1">
      <c r="A94" s="3"/>
      <c r="B94" s="4">
        <v>113</v>
      </c>
      <c r="C94" s="4">
        <v>5210</v>
      </c>
      <c r="D94" s="106" t="s">
        <v>164</v>
      </c>
      <c r="E94" s="6" t="s">
        <v>23</v>
      </c>
      <c r="F94" s="76"/>
    </row>
    <row r="95" spans="1:6" s="77" customFormat="1" ht="12.75" hidden="1">
      <c r="A95" s="3"/>
      <c r="B95" s="4">
        <v>113</v>
      </c>
      <c r="C95" s="4">
        <v>4910</v>
      </c>
      <c r="D95" s="106" t="s">
        <v>164</v>
      </c>
      <c r="E95" s="6" t="s">
        <v>159</v>
      </c>
      <c r="F95" s="76"/>
    </row>
    <row r="96" spans="1:6" ht="12.75" hidden="1">
      <c r="A96" s="3"/>
      <c r="B96" s="4">
        <v>113</v>
      </c>
      <c r="C96" s="4">
        <v>6410</v>
      </c>
      <c r="D96" s="106" t="s">
        <v>164</v>
      </c>
      <c r="E96" s="6" t="s">
        <v>25</v>
      </c>
      <c r="F96" s="41"/>
    </row>
    <row r="97" spans="1:6" ht="12.75" hidden="1">
      <c r="A97" s="3"/>
      <c r="B97" s="4">
        <v>113</v>
      </c>
      <c r="C97" s="4">
        <v>7410</v>
      </c>
      <c r="D97" s="106" t="s">
        <v>164</v>
      </c>
      <c r="E97" s="6" t="s">
        <v>26</v>
      </c>
      <c r="F97" s="41"/>
    </row>
    <row r="98" spans="1:5" ht="12.75" hidden="1">
      <c r="A98" s="3"/>
      <c r="B98" s="45">
        <v>113</v>
      </c>
      <c r="C98" s="45">
        <v>7910</v>
      </c>
      <c r="D98" s="106" t="s">
        <v>164</v>
      </c>
      <c r="E98" s="43" t="s">
        <v>187</v>
      </c>
    </row>
    <row r="99" spans="1:6" ht="13.5" hidden="1" thickBot="1">
      <c r="A99" s="165" t="s">
        <v>136</v>
      </c>
      <c r="B99" s="166"/>
      <c r="C99" s="166"/>
      <c r="D99" s="166"/>
      <c r="E99" s="166"/>
      <c r="F99" s="96">
        <f>SUM(F79:F97)</f>
        <v>0</v>
      </c>
    </row>
    <row r="100" spans="1:21" ht="12.75">
      <c r="A100" s="44"/>
      <c r="B100" s="4">
        <v>119</v>
      </c>
      <c r="C100" s="82">
        <v>1870</v>
      </c>
      <c r="D100" s="105" t="s">
        <v>163</v>
      </c>
      <c r="E100" s="8" t="s">
        <v>87</v>
      </c>
      <c r="F100" s="41">
        <v>45000</v>
      </c>
      <c r="G100" s="37">
        <v>-298</v>
      </c>
      <c r="H100" s="41">
        <f>F100+G100</f>
        <v>44702</v>
      </c>
      <c r="I100" s="41">
        <v>-36000</v>
      </c>
      <c r="J100" s="41">
        <f>SUM(H100:I100)</f>
        <v>8702</v>
      </c>
      <c r="K100" s="87">
        <v>20000</v>
      </c>
      <c r="N100" s="87">
        <v>20600</v>
      </c>
      <c r="O100" s="87"/>
      <c r="P100" s="87">
        <v>20600</v>
      </c>
      <c r="Q100" s="87"/>
      <c r="R100" s="87">
        <v>60000</v>
      </c>
      <c r="S100" s="87"/>
      <c r="T100" s="87">
        <v>60000</v>
      </c>
      <c r="U100" s="87"/>
    </row>
    <row r="101" spans="1:9" ht="12.75">
      <c r="A101" s="44"/>
      <c r="B101" s="4">
        <v>119</v>
      </c>
      <c r="C101" s="82">
        <v>2130</v>
      </c>
      <c r="D101" s="105" t="s">
        <v>163</v>
      </c>
      <c r="E101" s="6" t="s">
        <v>15</v>
      </c>
      <c r="F101" s="41"/>
      <c r="H101" s="41"/>
      <c r="I101" s="56"/>
    </row>
    <row r="102" spans="1:10" ht="12.75">
      <c r="A102" s="44"/>
      <c r="B102" s="4">
        <v>119</v>
      </c>
      <c r="C102" s="4">
        <v>2820</v>
      </c>
      <c r="D102" s="105" t="s">
        <v>163</v>
      </c>
      <c r="E102" s="6" t="s">
        <v>16</v>
      </c>
      <c r="F102" s="41">
        <f>SUM(F100*0.06)</f>
        <v>2700</v>
      </c>
      <c r="G102" s="41">
        <f>SUM(G100*0.06)</f>
        <v>-17.88</v>
      </c>
      <c r="H102" s="41">
        <f>F102+G102</f>
        <v>2682.12</v>
      </c>
      <c r="I102" s="41">
        <v>-2682</v>
      </c>
      <c r="J102" s="41">
        <f>SUM(H102:I102)</f>
        <v>0.11999999999989086</v>
      </c>
    </row>
    <row r="103" spans="1:21" ht="12.75">
      <c r="A103" s="44"/>
      <c r="B103" s="4">
        <v>119</v>
      </c>
      <c r="C103" s="4">
        <v>2830</v>
      </c>
      <c r="D103" s="105" t="s">
        <v>163</v>
      </c>
      <c r="E103" s="6" t="s">
        <v>17</v>
      </c>
      <c r="F103" s="41">
        <f>SUM(F100*0.0765)</f>
        <v>3442.5</v>
      </c>
      <c r="G103" s="41">
        <f>SUM(G100*0.0765)</f>
        <v>-22.797</v>
      </c>
      <c r="H103" s="41">
        <f>F103+G103</f>
        <v>3419.703</v>
      </c>
      <c r="I103" s="41">
        <f>I100*0.0765</f>
        <v>-2754</v>
      </c>
      <c r="J103" s="41">
        <f>SUM(H103:I103)</f>
        <v>665.703</v>
      </c>
      <c r="K103" s="41">
        <f>K100*0.0765</f>
        <v>1530</v>
      </c>
      <c r="N103" s="41">
        <f>N100*0.0765</f>
        <v>1575.8999999999999</v>
      </c>
      <c r="O103" s="41"/>
      <c r="P103" s="41">
        <f>P100*0.0765</f>
        <v>1575.8999999999999</v>
      </c>
      <c r="Q103" s="41"/>
      <c r="R103" s="41">
        <f>R100*0.0765</f>
        <v>4590</v>
      </c>
      <c r="S103" s="41"/>
      <c r="T103" s="41">
        <f>T100*0.0765</f>
        <v>4590</v>
      </c>
      <c r="U103" s="41"/>
    </row>
    <row r="104" spans="1:21" ht="12.75">
      <c r="A104" s="44"/>
      <c r="B104" s="4">
        <v>119</v>
      </c>
      <c r="C104" s="4">
        <v>2840</v>
      </c>
      <c r="D104" s="105" t="s">
        <v>163</v>
      </c>
      <c r="E104" s="6" t="s">
        <v>18</v>
      </c>
      <c r="F104" s="41">
        <f>SUM(F100*0.0055)</f>
        <v>247.49999999999997</v>
      </c>
      <c r="G104" s="41">
        <f>SUM(G100*0.0055)</f>
        <v>-1.639</v>
      </c>
      <c r="H104" s="41">
        <f>F104+G104</f>
        <v>245.86099999999996</v>
      </c>
      <c r="I104" s="41">
        <f>I100*0.0055</f>
        <v>-198</v>
      </c>
      <c r="J104" s="41">
        <f>SUM(H104:I104)</f>
        <v>47.86099999999996</v>
      </c>
      <c r="K104" s="37">
        <f>K100*0.0055</f>
        <v>110</v>
      </c>
      <c r="N104" s="37">
        <f>N100*0.0055</f>
        <v>113.3</v>
      </c>
      <c r="O104" s="37"/>
      <c r="P104" s="37">
        <f>P100*0.0055</f>
        <v>113.3</v>
      </c>
      <c r="Q104" s="37"/>
      <c r="R104" s="37">
        <f>R100*0.0055</f>
        <v>330</v>
      </c>
      <c r="S104" s="37"/>
      <c r="T104" s="37">
        <f>T100*0.0055</f>
        <v>330</v>
      </c>
      <c r="U104" s="37"/>
    </row>
    <row r="105" spans="1:9" ht="12.75">
      <c r="A105" s="32"/>
      <c r="B105" s="4">
        <v>119</v>
      </c>
      <c r="C105" s="4">
        <v>2850</v>
      </c>
      <c r="D105" s="105" t="s">
        <v>163</v>
      </c>
      <c r="E105" s="6" t="s">
        <v>19</v>
      </c>
      <c r="F105" s="41"/>
      <c r="I105" s="41"/>
    </row>
    <row r="106" spans="1:21" ht="12.75">
      <c r="A106" s="32"/>
      <c r="B106" s="29">
        <v>119</v>
      </c>
      <c r="C106" s="29">
        <v>5110</v>
      </c>
      <c r="D106" s="105" t="s">
        <v>163</v>
      </c>
      <c r="E106" s="6" t="s">
        <v>22</v>
      </c>
      <c r="F106" s="41"/>
      <c r="G106" s="37">
        <v>340</v>
      </c>
      <c r="H106" s="41">
        <f>F106+G106</f>
        <v>340</v>
      </c>
      <c r="I106" s="41">
        <v>244</v>
      </c>
      <c r="J106" s="41">
        <f>SUM(H106:I106)</f>
        <v>584</v>
      </c>
      <c r="K106" s="41">
        <v>500</v>
      </c>
      <c r="N106" s="41">
        <v>500</v>
      </c>
      <c r="O106" s="41"/>
      <c r="P106" s="41">
        <v>500</v>
      </c>
      <c r="Q106" s="41"/>
      <c r="R106" s="41">
        <v>1500</v>
      </c>
      <c r="S106" s="41"/>
      <c r="T106" s="41">
        <v>1500</v>
      </c>
      <c r="U106" s="41"/>
    </row>
    <row r="107" spans="1:9" ht="12.75">
      <c r="A107" s="32"/>
      <c r="B107" s="29">
        <v>119</v>
      </c>
      <c r="C107" s="29">
        <v>5990</v>
      </c>
      <c r="D107" s="105" t="s">
        <v>163</v>
      </c>
      <c r="E107" s="12" t="s">
        <v>67</v>
      </c>
      <c r="F107" s="41"/>
      <c r="I107" s="41"/>
    </row>
    <row r="108" spans="1:10" ht="12.75">
      <c r="A108" s="44"/>
      <c r="B108" s="29">
        <v>119</v>
      </c>
      <c r="C108" s="29">
        <v>7910</v>
      </c>
      <c r="D108" s="105" t="s">
        <v>163</v>
      </c>
      <c r="E108" s="12" t="s">
        <v>0</v>
      </c>
      <c r="F108" s="41"/>
      <c r="I108" s="41"/>
      <c r="J108" s="37"/>
    </row>
    <row r="109" spans="1:21" ht="12.75">
      <c r="A109" s="165" t="s">
        <v>137</v>
      </c>
      <c r="B109" s="166"/>
      <c r="C109" s="166"/>
      <c r="D109" s="166"/>
      <c r="E109" s="166"/>
      <c r="F109" s="53">
        <f aca="true" t="shared" si="7" ref="F109:K109">SUM(F100:F108)</f>
        <v>51390</v>
      </c>
      <c r="G109" s="53">
        <f t="shared" si="7"/>
        <v>-0.3160000000000309</v>
      </c>
      <c r="H109" s="53">
        <f t="shared" si="7"/>
        <v>51389.684</v>
      </c>
      <c r="I109" s="53">
        <f t="shared" si="7"/>
        <v>-41390</v>
      </c>
      <c r="J109" s="53">
        <f t="shared" si="7"/>
        <v>9999.684</v>
      </c>
      <c r="K109" s="53">
        <f t="shared" si="7"/>
        <v>22140</v>
      </c>
      <c r="N109" s="53">
        <f>SUM(N100:N108)</f>
        <v>22789.2</v>
      </c>
      <c r="O109" s="125"/>
      <c r="P109" s="53">
        <f>SUM(P100:P108)</f>
        <v>22789.2</v>
      </c>
      <c r="Q109" s="125"/>
      <c r="R109" s="53">
        <f>SUM(R100:R108)</f>
        <v>66420</v>
      </c>
      <c r="S109" s="125"/>
      <c r="T109" s="53">
        <f>SUM(T100:T108)</f>
        <v>66420</v>
      </c>
      <c r="U109" s="125"/>
    </row>
    <row r="110" spans="1:21" ht="13.5" thickBot="1">
      <c r="A110" s="145" t="s">
        <v>152</v>
      </c>
      <c r="B110" s="146"/>
      <c r="C110" s="146"/>
      <c r="D110" s="146"/>
      <c r="E110" s="147"/>
      <c r="F110" s="98">
        <f aca="true" t="shared" si="8" ref="F110:K110">F53+F78+F99+F109</f>
        <v>4006183.402</v>
      </c>
      <c r="G110" s="98">
        <f t="shared" si="8"/>
        <v>-582559.89</v>
      </c>
      <c r="H110" s="98">
        <f t="shared" si="8"/>
        <v>3423623.5119999996</v>
      </c>
      <c r="I110" s="98">
        <f t="shared" si="8"/>
        <v>95800.93200000003</v>
      </c>
      <c r="J110" s="98">
        <f t="shared" si="8"/>
        <v>3519424.4439999997</v>
      </c>
      <c r="K110" s="98">
        <f t="shared" si="8"/>
        <v>2697616.398</v>
      </c>
      <c r="N110" s="98">
        <f>N53+N78+N99+N109</f>
        <v>2908743.202</v>
      </c>
      <c r="O110" s="134"/>
      <c r="P110" s="98">
        <f>P53+P78+P99+P109</f>
        <v>3103424.902</v>
      </c>
      <c r="Q110" s="134"/>
      <c r="R110" s="98">
        <f>R53+R78+R99+R109</f>
        <v>3322044.5300000003</v>
      </c>
      <c r="S110" s="134"/>
      <c r="T110" s="98">
        <f>T53+T78+T99+T109</f>
        <v>3358018.9745000005</v>
      </c>
      <c r="U110" s="134"/>
    </row>
    <row r="111" spans="1:10" ht="12.75" customHeight="1">
      <c r="A111" s="50"/>
      <c r="B111" s="50"/>
      <c r="C111" s="50"/>
      <c r="D111" s="50"/>
      <c r="E111" s="24"/>
      <c r="F111" s="41"/>
      <c r="I111" s="41"/>
      <c r="J111" s="41"/>
    </row>
    <row r="112" spans="1:10" ht="12.75" customHeight="1">
      <c r="A112" s="61"/>
      <c r="B112" s="62" t="s">
        <v>48</v>
      </c>
      <c r="C112" s="58"/>
      <c r="D112" s="58"/>
      <c r="E112" s="92"/>
      <c r="F112" s="41"/>
      <c r="I112" s="41"/>
      <c r="J112" s="41"/>
    </row>
    <row r="113" spans="1:10" ht="12.75" customHeight="1">
      <c r="A113" s="157" t="s">
        <v>115</v>
      </c>
      <c r="B113" s="158"/>
      <c r="C113" s="158"/>
      <c r="D113" s="158"/>
      <c r="E113" s="158"/>
      <c r="F113" s="41"/>
      <c r="I113" s="41"/>
      <c r="J113" s="41"/>
    </row>
    <row r="114" spans="1:21" ht="12.75" customHeight="1">
      <c r="A114" s="3"/>
      <c r="B114" s="4">
        <v>122</v>
      </c>
      <c r="C114" s="4">
        <v>1240</v>
      </c>
      <c r="D114" s="106" t="s">
        <v>164</v>
      </c>
      <c r="E114" s="6" t="s">
        <v>14</v>
      </c>
      <c r="F114" s="41">
        <v>161836</v>
      </c>
      <c r="H114" s="41">
        <f>F114+G114</f>
        <v>161836</v>
      </c>
      <c r="I114" s="41"/>
      <c r="J114" s="41">
        <f>SUM(H114:I114)</f>
        <v>161836</v>
      </c>
      <c r="K114" s="41">
        <v>190000</v>
      </c>
      <c r="N114" s="41">
        <v>195700</v>
      </c>
      <c r="O114" s="41"/>
      <c r="P114" s="41">
        <v>195700</v>
      </c>
      <c r="Q114" s="41"/>
      <c r="R114" s="41">
        <v>180000</v>
      </c>
      <c r="S114" s="41"/>
      <c r="T114" s="41">
        <v>180000</v>
      </c>
      <c r="U114" s="41"/>
    </row>
    <row r="115" spans="1:21" ht="12" customHeight="1">
      <c r="A115" s="3"/>
      <c r="B115" s="4">
        <v>122</v>
      </c>
      <c r="C115" s="4">
        <v>1240</v>
      </c>
      <c r="D115" s="106" t="s">
        <v>165</v>
      </c>
      <c r="E115" s="6" t="s">
        <v>14</v>
      </c>
      <c r="F115" s="41">
        <v>21762</v>
      </c>
      <c r="H115" s="41">
        <f>F115+G115</f>
        <v>21762</v>
      </c>
      <c r="I115" s="41">
        <v>-3767.4</v>
      </c>
      <c r="J115" s="41">
        <f aca="true" t="shared" si="9" ref="J115:K134">SUM(H115:I115)</f>
        <v>17994.6</v>
      </c>
      <c r="K115" s="41">
        <v>17995</v>
      </c>
      <c r="N115" s="41">
        <v>18535</v>
      </c>
      <c r="O115" s="41"/>
      <c r="P115" s="41">
        <v>18535</v>
      </c>
      <c r="Q115" s="41"/>
      <c r="R115" s="41">
        <v>19091</v>
      </c>
      <c r="S115" s="41"/>
      <c r="T115" s="41">
        <v>19091</v>
      </c>
      <c r="U115" s="41"/>
    </row>
    <row r="116" spans="1:21" ht="0.75" customHeight="1" hidden="1">
      <c r="A116" s="3"/>
      <c r="B116" s="4">
        <v>122</v>
      </c>
      <c r="C116" s="4">
        <v>1240</v>
      </c>
      <c r="D116" s="106" t="s">
        <v>211</v>
      </c>
      <c r="E116" s="6" t="s">
        <v>14</v>
      </c>
      <c r="F116" s="41"/>
      <c r="H116" s="41"/>
      <c r="I116" s="41">
        <v>6834</v>
      </c>
      <c r="J116" s="41">
        <f t="shared" si="9"/>
        <v>6834</v>
      </c>
      <c r="K116" s="41"/>
      <c r="L116" s="56"/>
      <c r="M116" s="56"/>
      <c r="N116" s="41"/>
      <c r="O116" s="41"/>
      <c r="P116" s="41"/>
      <c r="Q116" s="41"/>
      <c r="R116" s="41"/>
      <c r="S116" s="41"/>
      <c r="T116" s="41"/>
      <c r="U116" s="41"/>
    </row>
    <row r="117" spans="1:21" ht="12.75" customHeight="1">
      <c r="A117" s="3"/>
      <c r="B117" s="4">
        <v>122</v>
      </c>
      <c r="C117" s="4">
        <v>2110</v>
      </c>
      <c r="D117" s="106" t="s">
        <v>164</v>
      </c>
      <c r="E117" s="6" t="s">
        <v>64</v>
      </c>
      <c r="F117" s="41">
        <v>835</v>
      </c>
      <c r="H117" s="41">
        <f>F117+G117</f>
        <v>835</v>
      </c>
      <c r="I117" s="41"/>
      <c r="J117" s="41">
        <f t="shared" si="9"/>
        <v>835</v>
      </c>
      <c r="K117" s="41">
        <f t="shared" si="9"/>
        <v>835</v>
      </c>
      <c r="N117" s="41">
        <f>SUM(K117:L117)</f>
        <v>835</v>
      </c>
      <c r="O117" s="41"/>
      <c r="P117" s="41">
        <f>SUM(M117:N117)</f>
        <v>835</v>
      </c>
      <c r="Q117" s="41"/>
      <c r="R117" s="41">
        <f>SUM(O117:P117)</f>
        <v>835</v>
      </c>
      <c r="S117" s="41"/>
      <c r="T117" s="41">
        <f>SUM(Q117:R117)</f>
        <v>835</v>
      </c>
      <c r="U117" s="41"/>
    </row>
    <row r="118" spans="1:21" ht="12.75" customHeight="1">
      <c r="A118" s="3"/>
      <c r="B118" s="4">
        <v>122</v>
      </c>
      <c r="C118" s="4">
        <v>2110</v>
      </c>
      <c r="D118" s="106" t="s">
        <v>165</v>
      </c>
      <c r="E118" s="6" t="s">
        <v>64</v>
      </c>
      <c r="F118" s="41"/>
      <c r="H118" s="41"/>
      <c r="I118" s="41">
        <v>66</v>
      </c>
      <c r="J118" s="41">
        <f t="shared" si="9"/>
        <v>66</v>
      </c>
      <c r="K118" s="41">
        <v>66</v>
      </c>
      <c r="N118" s="41">
        <v>66</v>
      </c>
      <c r="O118" s="41"/>
      <c r="P118" s="41">
        <v>66</v>
      </c>
      <c r="Q118" s="41"/>
      <c r="R118" s="41">
        <v>66</v>
      </c>
      <c r="S118" s="41"/>
      <c r="T118" s="41">
        <v>66</v>
      </c>
      <c r="U118" s="41"/>
    </row>
    <row r="119" spans="1:21" ht="12.75" customHeight="1">
      <c r="A119" s="3"/>
      <c r="B119" s="4">
        <v>122</v>
      </c>
      <c r="C119" s="4">
        <v>2130</v>
      </c>
      <c r="D119" s="106" t="s">
        <v>164</v>
      </c>
      <c r="E119" s="6" t="s">
        <v>15</v>
      </c>
      <c r="F119" s="41">
        <v>17764</v>
      </c>
      <c r="H119" s="41">
        <f>F119+G119</f>
        <v>17764</v>
      </c>
      <c r="I119" s="41"/>
      <c r="J119" s="41">
        <f t="shared" si="9"/>
        <v>17764</v>
      </c>
      <c r="K119" s="41">
        <v>15507</v>
      </c>
      <c r="N119" s="41">
        <v>16282</v>
      </c>
      <c r="O119" s="41"/>
      <c r="P119" s="41">
        <v>17096</v>
      </c>
      <c r="Q119" s="41"/>
      <c r="R119" s="41">
        <v>17951</v>
      </c>
      <c r="S119" s="41"/>
      <c r="T119" s="41">
        <v>18849</v>
      </c>
      <c r="U119" s="41"/>
    </row>
    <row r="120" spans="1:21" ht="12.75" customHeight="1">
      <c r="A120" s="3"/>
      <c r="B120" s="4">
        <v>122</v>
      </c>
      <c r="C120" s="4">
        <v>2130</v>
      </c>
      <c r="D120" s="106" t="s">
        <v>165</v>
      </c>
      <c r="E120" s="6" t="s">
        <v>15</v>
      </c>
      <c r="F120" s="41">
        <v>1300</v>
      </c>
      <c r="H120" s="41">
        <f>F120+G120</f>
        <v>1300</v>
      </c>
      <c r="I120" s="41">
        <v>-149</v>
      </c>
      <c r="J120" s="41">
        <f t="shared" si="9"/>
        <v>1151</v>
      </c>
      <c r="K120" s="41">
        <v>1151</v>
      </c>
      <c r="N120" s="41">
        <v>1209</v>
      </c>
      <c r="O120" s="41"/>
      <c r="P120" s="41">
        <v>1269</v>
      </c>
      <c r="Q120" s="41"/>
      <c r="R120" s="41">
        <v>1332</v>
      </c>
      <c r="S120" s="41"/>
      <c r="T120" s="41">
        <f>R120*1.05</f>
        <v>1398.6000000000001</v>
      </c>
      <c r="U120" s="41"/>
    </row>
    <row r="121" spans="1:10" ht="12.75" customHeight="1" hidden="1">
      <c r="A121" s="3"/>
      <c r="B121" s="4">
        <v>122</v>
      </c>
      <c r="C121" s="4">
        <v>2130</v>
      </c>
      <c r="D121" s="106" t="s">
        <v>211</v>
      </c>
      <c r="E121" s="6" t="s">
        <v>15</v>
      </c>
      <c r="F121" s="41"/>
      <c r="H121" s="41"/>
      <c r="I121" s="41">
        <v>2912</v>
      </c>
      <c r="J121" s="41">
        <f t="shared" si="9"/>
        <v>2912</v>
      </c>
    </row>
    <row r="122" spans="1:21" ht="12.75" customHeight="1">
      <c r="A122" s="3"/>
      <c r="B122" s="4">
        <v>122</v>
      </c>
      <c r="C122" s="4">
        <v>2820</v>
      </c>
      <c r="D122" s="106" t="s">
        <v>164</v>
      </c>
      <c r="E122" s="6" t="s">
        <v>16</v>
      </c>
      <c r="F122" s="41">
        <f>SUM(F114)*0.06</f>
        <v>9710.16</v>
      </c>
      <c r="H122" s="41">
        <f>F122+G122</f>
        <v>9710.16</v>
      </c>
      <c r="I122" s="41">
        <f>-H122/2</f>
        <v>-4855.08</v>
      </c>
      <c r="J122" s="41">
        <f t="shared" si="9"/>
        <v>4855.08</v>
      </c>
      <c r="K122" s="41">
        <f>K114*0.02</f>
        <v>3800</v>
      </c>
      <c r="N122" s="41">
        <f>N114*0.02</f>
        <v>3914</v>
      </c>
      <c r="O122" s="41"/>
      <c r="P122" s="41">
        <f>P114*0.02</f>
        <v>3914</v>
      </c>
      <c r="Q122" s="41"/>
      <c r="R122" s="41">
        <f>R114*0.02</f>
        <v>3600</v>
      </c>
      <c r="S122" s="41"/>
      <c r="T122" s="41">
        <f>T114*0.02</f>
        <v>3600</v>
      </c>
      <c r="U122" s="41"/>
    </row>
    <row r="123" spans="1:21" ht="12.75" customHeight="1">
      <c r="A123" s="3"/>
      <c r="B123" s="4">
        <v>122</v>
      </c>
      <c r="C123" s="4">
        <v>2820</v>
      </c>
      <c r="D123" s="106" t="s">
        <v>165</v>
      </c>
      <c r="E123" s="6" t="s">
        <v>16</v>
      </c>
      <c r="F123" s="41">
        <f>F115*0.06</f>
        <v>1305.72</v>
      </c>
      <c r="H123" s="41">
        <f>F123+G123</f>
        <v>1305.72</v>
      </c>
      <c r="I123" s="41">
        <f>I115*0.06-66</f>
        <v>-292.044</v>
      </c>
      <c r="J123" s="41">
        <f t="shared" si="9"/>
        <v>1013.676</v>
      </c>
      <c r="K123" s="41">
        <f>K115*0.03</f>
        <v>539.85</v>
      </c>
      <c r="N123" s="41">
        <f>N115*0.03</f>
        <v>556.05</v>
      </c>
      <c r="O123" s="41"/>
      <c r="P123" s="41">
        <f>P115*0.03</f>
        <v>556.05</v>
      </c>
      <c r="Q123" s="41"/>
      <c r="R123" s="41">
        <f>R115*0.03</f>
        <v>572.73</v>
      </c>
      <c r="S123" s="41"/>
      <c r="T123" s="41">
        <f>T115*0.03</f>
        <v>572.73</v>
      </c>
      <c r="U123" s="41"/>
    </row>
    <row r="124" spans="1:10" ht="12.75" customHeight="1" hidden="1">
      <c r="A124" s="3"/>
      <c r="B124" s="4">
        <v>122</v>
      </c>
      <c r="C124" s="4">
        <v>2820</v>
      </c>
      <c r="D124" s="106" t="s">
        <v>211</v>
      </c>
      <c r="E124" s="6" t="s">
        <v>16</v>
      </c>
      <c r="F124" s="41"/>
      <c r="H124" s="41"/>
      <c r="I124" s="41">
        <v>348</v>
      </c>
      <c r="J124" s="41">
        <f t="shared" si="9"/>
        <v>348</v>
      </c>
    </row>
    <row r="125" spans="1:21" ht="12.75" customHeight="1">
      <c r="A125" s="3"/>
      <c r="B125" s="4">
        <v>122</v>
      </c>
      <c r="C125" s="4">
        <v>2830</v>
      </c>
      <c r="D125" s="106" t="s">
        <v>164</v>
      </c>
      <c r="E125" s="6" t="s">
        <v>17</v>
      </c>
      <c r="F125" s="41">
        <f>SUM(F114*0.0765)</f>
        <v>12380.454</v>
      </c>
      <c r="H125" s="41">
        <f>F125+G125</f>
        <v>12380.454</v>
      </c>
      <c r="I125" s="41"/>
      <c r="J125" s="41">
        <f t="shared" si="9"/>
        <v>12380.454</v>
      </c>
      <c r="K125" s="41">
        <f>K114*0.0765</f>
        <v>14535</v>
      </c>
      <c r="N125" s="41">
        <f>N114*0.0765</f>
        <v>14971.05</v>
      </c>
      <c r="O125" s="41"/>
      <c r="P125" s="41">
        <f>P114*0.0765</f>
        <v>14971.05</v>
      </c>
      <c r="Q125" s="41"/>
      <c r="R125" s="41">
        <f>R114*0.0765</f>
        <v>13770</v>
      </c>
      <c r="S125" s="41"/>
      <c r="T125" s="41">
        <f>T114*0.0765</f>
        <v>13770</v>
      </c>
      <c r="U125" s="41"/>
    </row>
    <row r="126" spans="1:21" ht="12.75" customHeight="1">
      <c r="A126" s="3"/>
      <c r="B126" s="4">
        <v>122</v>
      </c>
      <c r="C126" s="4">
        <v>2830</v>
      </c>
      <c r="D126" s="106" t="s">
        <v>165</v>
      </c>
      <c r="E126" s="6" t="s">
        <v>17</v>
      </c>
      <c r="F126" s="41">
        <f>F115*0.0765</f>
        <v>1664.793</v>
      </c>
      <c r="H126" s="41">
        <f>F126+G126</f>
        <v>1664.793</v>
      </c>
      <c r="I126" s="41">
        <f>I115*0.0765</f>
        <v>-288.2061</v>
      </c>
      <c r="J126" s="41">
        <f t="shared" si="9"/>
        <v>1376.5868999999998</v>
      </c>
      <c r="K126" s="41">
        <f>K115*0.0765</f>
        <v>1376.6175</v>
      </c>
      <c r="N126" s="41">
        <f>N115*0.0765</f>
        <v>1417.9275</v>
      </c>
      <c r="O126" s="41"/>
      <c r="P126" s="41">
        <f>P115*0.0765</f>
        <v>1417.9275</v>
      </c>
      <c r="Q126" s="41"/>
      <c r="R126" s="41">
        <f>R115*0.0765</f>
        <v>1460.4615</v>
      </c>
      <c r="S126" s="41"/>
      <c r="T126" s="41">
        <f>T115*0.0765</f>
        <v>1460.4615</v>
      </c>
      <c r="U126" s="41"/>
    </row>
    <row r="127" spans="1:10" ht="12.75" customHeight="1" hidden="1">
      <c r="A127" s="3"/>
      <c r="B127" s="4">
        <v>122</v>
      </c>
      <c r="C127" s="4">
        <v>2830</v>
      </c>
      <c r="D127" s="106" t="s">
        <v>211</v>
      </c>
      <c r="E127" s="6" t="s">
        <v>17</v>
      </c>
      <c r="F127" s="41"/>
      <c r="H127" s="41"/>
      <c r="I127" s="41">
        <v>523</v>
      </c>
      <c r="J127" s="41">
        <f t="shared" si="9"/>
        <v>523</v>
      </c>
    </row>
    <row r="128" spans="1:21" ht="12.75" customHeight="1">
      <c r="A128" s="3"/>
      <c r="B128" s="4">
        <v>122</v>
      </c>
      <c r="C128" s="4">
        <v>2840</v>
      </c>
      <c r="D128" s="106" t="s">
        <v>164</v>
      </c>
      <c r="E128" s="6" t="s">
        <v>18</v>
      </c>
      <c r="F128" s="41">
        <f>SUM(F114*0.0055)</f>
        <v>890.098</v>
      </c>
      <c r="H128" s="41">
        <f>F128+G128</f>
        <v>890.098</v>
      </c>
      <c r="I128" s="41"/>
      <c r="J128" s="41">
        <f t="shared" si="9"/>
        <v>890.098</v>
      </c>
      <c r="K128" s="41">
        <f>K114*0.0055</f>
        <v>1045</v>
      </c>
      <c r="N128" s="41">
        <f>N114*0.0055</f>
        <v>1076.35</v>
      </c>
      <c r="O128" s="41"/>
      <c r="P128" s="41">
        <f>P114*0.0055</f>
        <v>1076.35</v>
      </c>
      <c r="Q128" s="41"/>
      <c r="R128" s="41">
        <f>R114*0.0055</f>
        <v>989.9999999999999</v>
      </c>
      <c r="S128" s="41"/>
      <c r="T128" s="41">
        <f>T114*0.0034</f>
        <v>612</v>
      </c>
      <c r="U128" s="41"/>
    </row>
    <row r="129" spans="1:21" ht="12.75" customHeight="1">
      <c r="A129" s="3"/>
      <c r="B129" s="4">
        <v>122</v>
      </c>
      <c r="C129" s="4">
        <v>2840</v>
      </c>
      <c r="D129" s="106" t="s">
        <v>165</v>
      </c>
      <c r="E129" s="6" t="s">
        <v>18</v>
      </c>
      <c r="F129" s="41">
        <f>F115*0.0055</f>
        <v>119.69099999999999</v>
      </c>
      <c r="H129" s="41">
        <f>F129+G129</f>
        <v>119.69099999999999</v>
      </c>
      <c r="I129" s="41">
        <f>I115*0.0055</f>
        <v>-20.7207</v>
      </c>
      <c r="J129" s="41">
        <f t="shared" si="9"/>
        <v>98.97029999999998</v>
      </c>
      <c r="K129" s="41">
        <f>K115*0.0055</f>
        <v>98.9725</v>
      </c>
      <c r="N129" s="41">
        <f>N115*0.0055</f>
        <v>101.9425</v>
      </c>
      <c r="O129" s="41"/>
      <c r="P129" s="41">
        <f>P115*0.0055</f>
        <v>101.9425</v>
      </c>
      <c r="Q129" s="41"/>
      <c r="R129" s="41">
        <f>R115*0.0055</f>
        <v>105.00049999999999</v>
      </c>
      <c r="S129" s="41"/>
      <c r="T129" s="41">
        <f>T115*0.0034</f>
        <v>64.90939999999999</v>
      </c>
      <c r="U129" s="41"/>
    </row>
    <row r="130" spans="1:10" ht="12.75" customHeight="1" hidden="1">
      <c r="A130" s="3"/>
      <c r="B130" s="4">
        <v>122</v>
      </c>
      <c r="C130" s="4">
        <v>2840</v>
      </c>
      <c r="D130" s="106" t="s">
        <v>211</v>
      </c>
      <c r="E130" s="6" t="s">
        <v>18</v>
      </c>
      <c r="F130" s="41"/>
      <c r="H130" s="41"/>
      <c r="I130" s="41">
        <v>52</v>
      </c>
      <c r="J130" s="41">
        <f t="shared" si="9"/>
        <v>52</v>
      </c>
    </row>
    <row r="131" spans="1:21" ht="12.75" customHeight="1">
      <c r="A131" s="3"/>
      <c r="B131" s="4">
        <v>122</v>
      </c>
      <c r="C131" s="4">
        <v>2850</v>
      </c>
      <c r="D131" s="106" t="s">
        <v>164</v>
      </c>
      <c r="E131" s="6" t="s">
        <v>19</v>
      </c>
      <c r="F131" s="41">
        <v>3979</v>
      </c>
      <c r="H131" s="41">
        <f>F131+G131</f>
        <v>3979</v>
      </c>
      <c r="I131" s="41">
        <v>-2000</v>
      </c>
      <c r="J131" s="41">
        <f t="shared" si="9"/>
        <v>1979</v>
      </c>
      <c r="K131" s="41">
        <f>9500*4*0.0573</f>
        <v>2177.4</v>
      </c>
      <c r="N131" s="41">
        <f>9500*4*0.0573</f>
        <v>2177.4</v>
      </c>
      <c r="O131" s="41"/>
      <c r="P131" s="41">
        <f>9500*4*0.0573</f>
        <v>2177.4</v>
      </c>
      <c r="Q131" s="41"/>
      <c r="R131" s="41">
        <f>9500*4*0.0815</f>
        <v>3097</v>
      </c>
      <c r="S131" s="41"/>
      <c r="T131" s="41">
        <f>9500*4*0.0815</f>
        <v>3097</v>
      </c>
      <c r="U131" s="41"/>
    </row>
    <row r="132" spans="1:10" ht="12.75" customHeight="1" hidden="1">
      <c r="A132" s="3"/>
      <c r="B132" s="4">
        <v>122</v>
      </c>
      <c r="C132" s="4">
        <v>3190</v>
      </c>
      <c r="D132" s="106"/>
      <c r="E132" s="6" t="s">
        <v>52</v>
      </c>
      <c r="F132" s="41"/>
      <c r="H132" s="41">
        <f>F132+G132</f>
        <v>0</v>
      </c>
      <c r="I132" s="41"/>
      <c r="J132" s="41">
        <f t="shared" si="9"/>
        <v>0</v>
      </c>
    </row>
    <row r="133" spans="1:10" ht="12.75" customHeight="1" hidden="1">
      <c r="A133" s="3"/>
      <c r="B133" s="4">
        <v>122</v>
      </c>
      <c r="C133" s="4">
        <v>5110</v>
      </c>
      <c r="D133" s="106"/>
      <c r="E133" s="6" t="s">
        <v>74</v>
      </c>
      <c r="F133" s="41"/>
      <c r="H133" s="41">
        <f>F133+G133</f>
        <v>0</v>
      </c>
      <c r="I133" s="41"/>
      <c r="J133" s="41">
        <f t="shared" si="9"/>
        <v>0</v>
      </c>
    </row>
    <row r="134" spans="1:21" ht="12.75" customHeight="1">
      <c r="A134" s="3"/>
      <c r="B134" s="4">
        <v>122</v>
      </c>
      <c r="C134" s="4">
        <v>2850</v>
      </c>
      <c r="D134" s="106" t="s">
        <v>165</v>
      </c>
      <c r="E134" s="6" t="s">
        <v>19</v>
      </c>
      <c r="F134" s="41">
        <v>299</v>
      </c>
      <c r="H134" s="41">
        <f>F134+G134</f>
        <v>299</v>
      </c>
      <c r="I134" s="41"/>
      <c r="J134" s="41">
        <f t="shared" si="9"/>
        <v>299</v>
      </c>
      <c r="K134" s="41">
        <f>9500*0.4*0.0573</f>
        <v>217.73999999999998</v>
      </c>
      <c r="N134" s="41">
        <f>9500*0.4*0.0573</f>
        <v>217.73999999999998</v>
      </c>
      <c r="O134" s="41"/>
      <c r="P134" s="41">
        <f>9500*0.4*0.0573</f>
        <v>217.73999999999998</v>
      </c>
      <c r="Q134" s="41"/>
      <c r="R134" s="41">
        <f>9500*0.4*0.0815</f>
        <v>309.7</v>
      </c>
      <c r="S134" s="41"/>
      <c r="T134" s="41">
        <f>9500*0.4*0.0815</f>
        <v>309.7</v>
      </c>
      <c r="U134" s="41"/>
    </row>
    <row r="135" spans="1:10" ht="12.75" customHeight="1" hidden="1">
      <c r="A135" s="3"/>
      <c r="B135" s="4">
        <v>122</v>
      </c>
      <c r="C135" s="4">
        <v>3110</v>
      </c>
      <c r="D135" s="106" t="s">
        <v>211</v>
      </c>
      <c r="E135" s="6" t="s">
        <v>213</v>
      </c>
      <c r="F135" s="41"/>
      <c r="H135" s="41"/>
      <c r="I135" s="41">
        <v>630</v>
      </c>
      <c r="J135" s="41">
        <f>SUM(H135:I135)</f>
        <v>630</v>
      </c>
    </row>
    <row r="136" spans="1:21" ht="12.75" customHeight="1">
      <c r="A136" s="3"/>
      <c r="B136" s="4">
        <v>122</v>
      </c>
      <c r="C136" s="4">
        <v>3110</v>
      </c>
      <c r="D136" s="106" t="s">
        <v>165</v>
      </c>
      <c r="E136" s="6" t="s">
        <v>213</v>
      </c>
      <c r="F136" s="41"/>
      <c r="H136" s="41"/>
      <c r="I136" s="41">
        <v>8000</v>
      </c>
      <c r="J136" s="41">
        <f>SUM(H136:I136)</f>
        <v>8000</v>
      </c>
      <c r="K136" s="41">
        <v>2000</v>
      </c>
      <c r="N136" s="41">
        <v>2000</v>
      </c>
      <c r="O136" s="41"/>
      <c r="P136" s="41">
        <v>2000</v>
      </c>
      <c r="Q136" s="41"/>
      <c r="R136" s="41">
        <v>2000</v>
      </c>
      <c r="S136" s="41"/>
      <c r="T136" s="41">
        <v>2000</v>
      </c>
      <c r="U136" s="41"/>
    </row>
    <row r="137" spans="1:10" ht="12.75" customHeight="1" hidden="1">
      <c r="A137" s="3"/>
      <c r="B137" s="4">
        <v>122</v>
      </c>
      <c r="C137" s="4">
        <v>5110</v>
      </c>
      <c r="D137" s="106" t="s">
        <v>211</v>
      </c>
      <c r="E137" s="6" t="s">
        <v>212</v>
      </c>
      <c r="F137" s="41"/>
      <c r="H137" s="41"/>
      <c r="I137" s="41">
        <v>1664</v>
      </c>
      <c r="J137" s="41">
        <f>SUM(H137:I137)</f>
        <v>1664</v>
      </c>
    </row>
    <row r="138" spans="1:21" ht="12.75" customHeight="1">
      <c r="A138" s="3"/>
      <c r="B138" s="4">
        <v>122</v>
      </c>
      <c r="C138" s="4">
        <v>5110</v>
      </c>
      <c r="D138" s="106" t="s">
        <v>165</v>
      </c>
      <c r="E138" s="6" t="s">
        <v>78</v>
      </c>
      <c r="F138" s="41">
        <v>12202</v>
      </c>
      <c r="H138" s="41">
        <f>F138+G138</f>
        <v>12202</v>
      </c>
      <c r="I138" s="41">
        <v>-1722</v>
      </c>
      <c r="J138" s="41">
        <f>SUM(H138:I138)</f>
        <v>10480</v>
      </c>
      <c r="K138" s="41">
        <v>4683</v>
      </c>
      <c r="N138" s="41">
        <v>4683</v>
      </c>
      <c r="O138" s="41"/>
      <c r="P138" s="41">
        <v>4623</v>
      </c>
      <c r="Q138" s="41"/>
      <c r="R138" s="41">
        <v>6394</v>
      </c>
      <c r="S138" s="41"/>
      <c r="T138" s="41">
        <v>6394</v>
      </c>
      <c r="U138" s="41"/>
    </row>
    <row r="139" spans="1:21" ht="12.75">
      <c r="A139" s="3"/>
      <c r="B139" s="45">
        <v>122</v>
      </c>
      <c r="C139" s="45">
        <v>5110</v>
      </c>
      <c r="D139" s="106" t="s">
        <v>164</v>
      </c>
      <c r="E139" s="6" t="s">
        <v>22</v>
      </c>
      <c r="I139" s="41">
        <v>14441</v>
      </c>
      <c r="J139" s="41">
        <f>SUM(H139:I139)</f>
        <v>14441</v>
      </c>
      <c r="K139" s="41">
        <v>8000</v>
      </c>
      <c r="N139" s="41">
        <v>9000</v>
      </c>
      <c r="O139" s="41"/>
      <c r="P139" s="41">
        <v>12000</v>
      </c>
      <c r="Q139" s="41"/>
      <c r="R139" s="41">
        <v>8000</v>
      </c>
      <c r="S139" s="41"/>
      <c r="T139" s="41">
        <v>9000</v>
      </c>
      <c r="U139" s="41"/>
    </row>
    <row r="140" spans="1:10" ht="12.75" hidden="1">
      <c r="A140" s="3"/>
      <c r="B140" s="4">
        <v>122</v>
      </c>
      <c r="C140" s="4">
        <v>5210</v>
      </c>
      <c r="D140" s="4"/>
      <c r="E140" s="6" t="s">
        <v>23</v>
      </c>
      <c r="F140" s="41"/>
      <c r="I140" s="41"/>
      <c r="J140" s="41"/>
    </row>
    <row r="141" spans="1:10" ht="12.75" hidden="1">
      <c r="A141" s="3"/>
      <c r="B141" s="4">
        <v>122</v>
      </c>
      <c r="C141" s="4">
        <v>6410</v>
      </c>
      <c r="D141" s="4"/>
      <c r="E141" s="6" t="s">
        <v>25</v>
      </c>
      <c r="F141" s="41"/>
      <c r="I141" s="41"/>
      <c r="J141" s="41"/>
    </row>
    <row r="142" spans="1:10" ht="12.75" customHeight="1" hidden="1">
      <c r="A142" s="3"/>
      <c r="B142" s="4">
        <v>122</v>
      </c>
      <c r="C142" s="4">
        <v>7410</v>
      </c>
      <c r="D142" s="4"/>
      <c r="E142" s="6" t="s">
        <v>26</v>
      </c>
      <c r="F142" s="41"/>
      <c r="I142" s="41"/>
      <c r="J142" s="41"/>
    </row>
    <row r="143" spans="1:10" ht="12.75" customHeight="1">
      <c r="A143" s="151" t="s">
        <v>116</v>
      </c>
      <c r="B143" s="152"/>
      <c r="C143" s="152"/>
      <c r="D143" s="152"/>
      <c r="E143" s="152"/>
      <c r="F143" s="41"/>
      <c r="I143" s="41"/>
      <c r="J143" s="41"/>
    </row>
    <row r="144" spans="1:21" ht="12.75" customHeight="1">
      <c r="A144" s="17"/>
      <c r="B144" s="90">
        <v>125</v>
      </c>
      <c r="C144" s="15">
        <v>1240</v>
      </c>
      <c r="D144" s="105" t="s">
        <v>163</v>
      </c>
      <c r="E144" s="16" t="s">
        <v>14</v>
      </c>
      <c r="F144" s="41">
        <v>82998</v>
      </c>
      <c r="H144" s="41">
        <f aca="true" t="shared" si="10" ref="H144:H159">F144+G144</f>
        <v>82998</v>
      </c>
      <c r="I144" s="41">
        <v>99002</v>
      </c>
      <c r="J144" s="41">
        <f>SUM(H144:I144)</f>
        <v>182000</v>
      </c>
      <c r="K144" s="41">
        <v>182000</v>
      </c>
      <c r="N144" s="41">
        <v>187460</v>
      </c>
      <c r="O144" s="41"/>
      <c r="P144" s="41">
        <v>187460</v>
      </c>
      <c r="Q144" s="41"/>
      <c r="R144" s="41">
        <v>162000</v>
      </c>
      <c r="S144" s="41"/>
      <c r="T144" s="41">
        <v>162000</v>
      </c>
      <c r="U144" s="41"/>
    </row>
    <row r="145" spans="1:10" ht="12.75" customHeight="1" hidden="1">
      <c r="A145" s="17"/>
      <c r="B145" s="90">
        <v>125</v>
      </c>
      <c r="C145" s="15">
        <v>1290</v>
      </c>
      <c r="D145" s="105" t="s">
        <v>166</v>
      </c>
      <c r="E145" s="16" t="s">
        <v>14</v>
      </c>
      <c r="F145" s="41"/>
      <c r="H145" s="41">
        <f t="shared" si="10"/>
        <v>0</v>
      </c>
      <c r="I145" s="41"/>
      <c r="J145" s="41">
        <f>SUM(H145:I145)</f>
        <v>0</v>
      </c>
    </row>
    <row r="146" spans="1:10" ht="12.75" customHeight="1" hidden="1">
      <c r="A146" s="17"/>
      <c r="B146" s="4">
        <v>125</v>
      </c>
      <c r="C146" s="4">
        <v>2110</v>
      </c>
      <c r="D146" s="106" t="s">
        <v>166</v>
      </c>
      <c r="E146" s="6" t="s">
        <v>64</v>
      </c>
      <c r="F146" s="41"/>
      <c r="H146" s="41">
        <f t="shared" si="10"/>
        <v>0</v>
      </c>
      <c r="I146" s="41"/>
      <c r="J146" s="41">
        <f>SUM(H146:I146)</f>
        <v>0</v>
      </c>
    </row>
    <row r="147" spans="1:21" ht="12.75" customHeight="1">
      <c r="A147" s="17"/>
      <c r="B147" s="4">
        <v>125</v>
      </c>
      <c r="C147" s="4">
        <v>1290</v>
      </c>
      <c r="D147" s="106" t="s">
        <v>163</v>
      </c>
      <c r="E147" s="6" t="s">
        <v>236</v>
      </c>
      <c r="F147" s="41"/>
      <c r="H147" s="41"/>
      <c r="I147" s="41"/>
      <c r="J147" s="41"/>
      <c r="K147" s="41">
        <v>145000</v>
      </c>
      <c r="N147" s="41">
        <v>149350</v>
      </c>
      <c r="O147" s="41"/>
      <c r="P147" s="41">
        <v>149350</v>
      </c>
      <c r="Q147" s="41"/>
      <c r="R147" s="41">
        <v>153831</v>
      </c>
      <c r="S147" s="41"/>
      <c r="T147" s="41">
        <v>153831</v>
      </c>
      <c r="U147" s="41"/>
    </row>
    <row r="148" spans="1:21" ht="12.75" customHeight="1">
      <c r="A148" s="17"/>
      <c r="B148" s="4">
        <v>125</v>
      </c>
      <c r="C148" s="4">
        <v>2130</v>
      </c>
      <c r="D148" s="106" t="s">
        <v>163</v>
      </c>
      <c r="E148" s="6" t="s">
        <v>15</v>
      </c>
      <c r="F148" s="41">
        <v>8000</v>
      </c>
      <c r="H148" s="41">
        <f t="shared" si="10"/>
        <v>8000</v>
      </c>
      <c r="I148" s="41">
        <v>4207</v>
      </c>
      <c r="J148" s="41">
        <f>SUM(H148:I148)</f>
        <v>12207</v>
      </c>
      <c r="K148" s="41">
        <v>12207</v>
      </c>
      <c r="L148" s="56"/>
      <c r="M148" s="56"/>
      <c r="N148" s="41">
        <v>12817</v>
      </c>
      <c r="O148" s="41"/>
      <c r="P148" s="41">
        <v>13458</v>
      </c>
      <c r="Q148" s="41"/>
      <c r="R148" s="41">
        <v>14131</v>
      </c>
      <c r="S148" s="41"/>
      <c r="T148" s="41">
        <f>R148*1.03</f>
        <v>14554.93</v>
      </c>
      <c r="U148" s="41"/>
    </row>
    <row r="149" spans="1:21" ht="12.75" customHeight="1">
      <c r="A149" s="17"/>
      <c r="B149" s="4">
        <v>125</v>
      </c>
      <c r="C149" s="4">
        <v>2820</v>
      </c>
      <c r="D149" s="105" t="s">
        <v>163</v>
      </c>
      <c r="E149" s="6" t="s">
        <v>16</v>
      </c>
      <c r="F149" s="41">
        <f>SUM(F144*0.06)</f>
        <v>4979.88</v>
      </c>
      <c r="H149" s="41">
        <f t="shared" si="10"/>
        <v>4979.88</v>
      </c>
      <c r="I149" s="41">
        <f>J149-H149</f>
        <v>5940.12</v>
      </c>
      <c r="J149" s="41">
        <f>J144*0.06</f>
        <v>10920</v>
      </c>
      <c r="K149" s="41">
        <f>K144*0.03</f>
        <v>5460</v>
      </c>
      <c r="N149" s="41">
        <f>N144*0.03</f>
        <v>5623.8</v>
      </c>
      <c r="O149" s="41"/>
      <c r="P149" s="41">
        <f>P144*0.03</f>
        <v>5623.8</v>
      </c>
      <c r="Q149" s="41"/>
      <c r="R149" s="41">
        <f>R144*0.03</f>
        <v>4860</v>
      </c>
      <c r="S149" s="41"/>
      <c r="T149" s="41">
        <f>T144*0.03</f>
        <v>4860</v>
      </c>
      <c r="U149" s="41"/>
    </row>
    <row r="150" spans="1:10" ht="12.75" customHeight="1" hidden="1">
      <c r="A150" s="17"/>
      <c r="B150" s="4">
        <v>125</v>
      </c>
      <c r="C150" s="4">
        <v>2820</v>
      </c>
      <c r="D150" s="105" t="s">
        <v>166</v>
      </c>
      <c r="E150" s="6" t="s">
        <v>16</v>
      </c>
      <c r="F150" s="41"/>
      <c r="H150" s="41">
        <f t="shared" si="10"/>
        <v>0</v>
      </c>
      <c r="I150" s="41"/>
      <c r="J150" s="41">
        <f>SUM(H150:I150)</f>
        <v>0</v>
      </c>
    </row>
    <row r="151" spans="1:21" ht="12" customHeight="1">
      <c r="A151" s="17"/>
      <c r="B151" s="4">
        <v>125</v>
      </c>
      <c r="C151" s="4">
        <v>2830</v>
      </c>
      <c r="D151" s="105" t="s">
        <v>163</v>
      </c>
      <c r="E151" s="6" t="s">
        <v>17</v>
      </c>
      <c r="F151" s="41">
        <f>SUM(F144*0.0765)</f>
        <v>6349.347</v>
      </c>
      <c r="H151" s="41">
        <f t="shared" si="10"/>
        <v>6349.347</v>
      </c>
      <c r="I151" s="41">
        <f>J151-H151</f>
        <v>7573.653</v>
      </c>
      <c r="J151" s="41">
        <f>J144*0.0765</f>
        <v>13923</v>
      </c>
      <c r="K151" s="41">
        <f>SUM(K144+K147)*0.0765</f>
        <v>25015.5</v>
      </c>
      <c r="N151" s="41">
        <f>SUM(N144+N147)*0.0765</f>
        <v>25765.965</v>
      </c>
      <c r="O151" s="41"/>
      <c r="P151" s="41">
        <f>SUM(P144+P147)*0.0765</f>
        <v>25765.965</v>
      </c>
      <c r="Q151" s="41"/>
      <c r="R151" s="41">
        <f>SUM(R144+R147)*0.0765</f>
        <v>24161.0715</v>
      </c>
      <c r="S151" s="41"/>
      <c r="T151" s="41">
        <f>SUM(T144+T147)*0.0765</f>
        <v>24161.0715</v>
      </c>
      <c r="U151" s="41"/>
    </row>
    <row r="152" spans="1:10" ht="12.75" customHeight="1" hidden="1">
      <c r="A152" s="17"/>
      <c r="B152" s="4">
        <v>125</v>
      </c>
      <c r="C152" s="4">
        <v>2830</v>
      </c>
      <c r="D152" s="105" t="s">
        <v>166</v>
      </c>
      <c r="E152" s="6" t="s">
        <v>17</v>
      </c>
      <c r="F152" s="41"/>
      <c r="H152" s="41">
        <f t="shared" si="10"/>
        <v>0</v>
      </c>
      <c r="I152" s="41"/>
      <c r="J152" s="41">
        <f>SUM(H152:I152)</f>
        <v>0</v>
      </c>
    </row>
    <row r="153" spans="1:21" ht="12.75" customHeight="1">
      <c r="A153" s="17"/>
      <c r="B153" s="4">
        <v>125</v>
      </c>
      <c r="C153" s="4">
        <v>2840</v>
      </c>
      <c r="D153" s="105" t="s">
        <v>163</v>
      </c>
      <c r="E153" s="6" t="s">
        <v>18</v>
      </c>
      <c r="F153" s="41">
        <f>SUM(F144*0.0105)</f>
        <v>871.479</v>
      </c>
      <c r="H153" s="41">
        <f t="shared" si="10"/>
        <v>871.479</v>
      </c>
      <c r="I153" s="41">
        <f>J153-H153</f>
        <v>129.52099999999984</v>
      </c>
      <c r="J153" s="41">
        <f>J144*0.0055</f>
        <v>1000.9999999999999</v>
      </c>
      <c r="K153" s="41">
        <f>SUM(K144+K147)*0.0055</f>
        <v>1798.5</v>
      </c>
      <c r="N153" s="41">
        <f>SUM(N144+N147)*0.0055</f>
        <v>1852.455</v>
      </c>
      <c r="O153" s="41"/>
      <c r="P153" s="41">
        <f>SUM(P144+P147)*0.0055</f>
        <v>1852.455</v>
      </c>
      <c r="Q153" s="41"/>
      <c r="R153" s="41">
        <f>SUM(R144+R147)*0.0055</f>
        <v>1737.0704999999998</v>
      </c>
      <c r="S153" s="41"/>
      <c r="T153" s="41">
        <f>SUM(T144+T147)*0.0055</f>
        <v>1737.0704999999998</v>
      </c>
      <c r="U153" s="41"/>
    </row>
    <row r="154" spans="1:10" ht="12.75" customHeight="1" hidden="1">
      <c r="A154" s="17"/>
      <c r="B154" s="4">
        <v>125</v>
      </c>
      <c r="C154" s="4">
        <v>2840</v>
      </c>
      <c r="D154" s="105" t="s">
        <v>166</v>
      </c>
      <c r="E154" s="6" t="s">
        <v>18</v>
      </c>
      <c r="F154" s="41"/>
      <c r="H154" s="41">
        <f t="shared" si="10"/>
        <v>0</v>
      </c>
      <c r="I154" s="41"/>
      <c r="J154" s="41">
        <f aca="true" t="shared" si="11" ref="J154:J162">SUM(H154:I154)</f>
        <v>0</v>
      </c>
    </row>
    <row r="155" spans="1:21" ht="12.75" customHeight="1">
      <c r="A155" s="17"/>
      <c r="B155" s="4">
        <v>125</v>
      </c>
      <c r="C155" s="4">
        <v>2850</v>
      </c>
      <c r="D155" s="105" t="s">
        <v>163</v>
      </c>
      <c r="E155" s="6" t="s">
        <v>19</v>
      </c>
      <c r="F155" s="41">
        <v>1989</v>
      </c>
      <c r="H155" s="41">
        <f t="shared" si="10"/>
        <v>1989</v>
      </c>
      <c r="I155" s="41"/>
      <c r="J155" s="41">
        <f t="shared" si="11"/>
        <v>1989</v>
      </c>
      <c r="K155" s="41">
        <f>9500*10*0.0573</f>
        <v>5443.5</v>
      </c>
      <c r="N155" s="41">
        <f>9500*10*0.0573</f>
        <v>5443.5</v>
      </c>
      <c r="O155" s="41"/>
      <c r="P155" s="41">
        <f>9500*10*0.0573</f>
        <v>5443.5</v>
      </c>
      <c r="Q155" s="41"/>
      <c r="R155" s="41">
        <f>9500*10*0.0815</f>
        <v>7742.5</v>
      </c>
      <c r="S155" s="41"/>
      <c r="T155" s="41">
        <f>9500*10*0.0815</f>
        <v>7742.5</v>
      </c>
      <c r="U155" s="41"/>
    </row>
    <row r="156" spans="1:10" ht="12.75" hidden="1">
      <c r="A156" s="3"/>
      <c r="B156" s="4">
        <v>125</v>
      </c>
      <c r="C156" s="4">
        <v>3110</v>
      </c>
      <c r="D156" s="4"/>
      <c r="E156" s="6" t="s">
        <v>76</v>
      </c>
      <c r="F156" s="41"/>
      <c r="H156" s="41">
        <f t="shared" si="10"/>
        <v>0</v>
      </c>
      <c r="I156" s="41"/>
      <c r="J156" s="41">
        <f t="shared" si="11"/>
        <v>0</v>
      </c>
    </row>
    <row r="157" spans="1:21" ht="12.75" customHeight="1">
      <c r="A157" s="3"/>
      <c r="B157" s="4">
        <v>125</v>
      </c>
      <c r="C157" s="4">
        <v>3110</v>
      </c>
      <c r="D157" s="105" t="s">
        <v>163</v>
      </c>
      <c r="E157" s="6" t="s">
        <v>213</v>
      </c>
      <c r="F157" s="41"/>
      <c r="H157" s="41">
        <f t="shared" si="10"/>
        <v>0</v>
      </c>
      <c r="I157" s="41">
        <v>265035</v>
      </c>
      <c r="J157" s="41">
        <f t="shared" si="11"/>
        <v>265035</v>
      </c>
      <c r="K157" s="41">
        <v>233000</v>
      </c>
      <c r="N157" s="41">
        <v>33000</v>
      </c>
      <c r="O157" s="41"/>
      <c r="P157" s="41">
        <v>32231</v>
      </c>
      <c r="Q157" s="41"/>
      <c r="R157" s="41">
        <v>92231</v>
      </c>
      <c r="S157" s="41"/>
      <c r="T157" s="41">
        <v>83953</v>
      </c>
      <c r="U157" s="41"/>
    </row>
    <row r="158" spans="1:10" ht="14.25" customHeight="1" hidden="1">
      <c r="A158" s="3"/>
      <c r="B158" s="4">
        <v>125</v>
      </c>
      <c r="C158" s="4">
        <v>5110</v>
      </c>
      <c r="D158" s="4"/>
      <c r="E158" s="6" t="s">
        <v>77</v>
      </c>
      <c r="F158" s="41"/>
      <c r="H158" s="41">
        <f t="shared" si="10"/>
        <v>0</v>
      </c>
      <c r="I158" s="41"/>
      <c r="J158" s="41">
        <f t="shared" si="11"/>
        <v>0</v>
      </c>
    </row>
    <row r="159" spans="1:21" ht="12.75">
      <c r="A159" s="3"/>
      <c r="B159" s="4">
        <v>125</v>
      </c>
      <c r="C159" s="4">
        <v>5110</v>
      </c>
      <c r="D159" s="105" t="s">
        <v>163</v>
      </c>
      <c r="E159" s="6" t="s">
        <v>183</v>
      </c>
      <c r="F159" s="41">
        <v>1755</v>
      </c>
      <c r="H159" s="41">
        <f t="shared" si="10"/>
        <v>1755</v>
      </c>
      <c r="I159" s="41">
        <v>127748</v>
      </c>
      <c r="J159" s="41">
        <f t="shared" si="11"/>
        <v>129503</v>
      </c>
      <c r="K159" s="41">
        <v>347288</v>
      </c>
      <c r="N159" s="41">
        <v>140142</v>
      </c>
      <c r="O159" s="41"/>
      <c r="P159" s="41">
        <v>140142</v>
      </c>
      <c r="Q159" s="41"/>
      <c r="R159" s="41">
        <v>126449</v>
      </c>
      <c r="S159" s="41"/>
      <c r="T159" s="41">
        <v>125600</v>
      </c>
      <c r="U159" s="41"/>
    </row>
    <row r="160" spans="1:10" ht="12.75">
      <c r="A160" s="3"/>
      <c r="B160" s="4">
        <v>125</v>
      </c>
      <c r="C160" s="4">
        <v>5990</v>
      </c>
      <c r="D160" s="105" t="s">
        <v>227</v>
      </c>
      <c r="E160" s="6" t="s">
        <v>67</v>
      </c>
      <c r="F160" s="41"/>
      <c r="H160" s="41"/>
      <c r="I160" s="41">
        <v>30811</v>
      </c>
      <c r="J160" s="41">
        <f t="shared" si="11"/>
        <v>30811</v>
      </c>
    </row>
    <row r="161" spans="1:21" ht="12.75" customHeight="1">
      <c r="A161" s="44"/>
      <c r="B161" s="4">
        <v>125</v>
      </c>
      <c r="C161" s="4">
        <v>6410</v>
      </c>
      <c r="D161" s="105" t="s">
        <v>163</v>
      </c>
      <c r="E161" s="95" t="s">
        <v>25</v>
      </c>
      <c r="F161" s="41"/>
      <c r="H161" s="41"/>
      <c r="I161" s="41">
        <v>34995</v>
      </c>
      <c r="J161" s="41">
        <f t="shared" si="11"/>
        <v>34995</v>
      </c>
      <c r="K161" s="41"/>
      <c r="N161" s="41"/>
      <c r="O161" s="41"/>
      <c r="P161" s="41"/>
      <c r="Q161" s="41"/>
      <c r="R161" s="41"/>
      <c r="S161" s="41"/>
      <c r="T161" s="41"/>
      <c r="U161" s="41"/>
    </row>
    <row r="162" spans="1:10" ht="12.75" customHeight="1">
      <c r="A162" s="44"/>
      <c r="B162" s="4">
        <v>125</v>
      </c>
      <c r="C162" s="4">
        <v>7910</v>
      </c>
      <c r="D162" s="105" t="s">
        <v>163</v>
      </c>
      <c r="E162" s="95" t="s">
        <v>200</v>
      </c>
      <c r="F162" s="41">
        <v>243134</v>
      </c>
      <c r="H162" s="41">
        <f>F162+G162</f>
        <v>243134</v>
      </c>
      <c r="I162" s="41">
        <v>-243134</v>
      </c>
      <c r="J162" s="41">
        <f t="shared" si="11"/>
        <v>0</v>
      </c>
    </row>
    <row r="163" spans="1:21" s="77" customFormat="1" ht="12.75" customHeight="1" thickBot="1">
      <c r="A163" s="145" t="s">
        <v>151</v>
      </c>
      <c r="B163" s="146"/>
      <c r="C163" s="146"/>
      <c r="D163" s="146"/>
      <c r="E163" s="147"/>
      <c r="F163" s="98">
        <f aca="true" t="shared" si="12" ref="F163:K163">SUM(F114:F162)</f>
        <v>596124.622</v>
      </c>
      <c r="G163" s="98">
        <f t="shared" si="12"/>
        <v>0</v>
      </c>
      <c r="H163" s="98">
        <f t="shared" si="12"/>
        <v>596124.622</v>
      </c>
      <c r="I163" s="98">
        <f t="shared" si="12"/>
        <v>354682.8432</v>
      </c>
      <c r="J163" s="98">
        <f t="shared" si="12"/>
        <v>950807.4652</v>
      </c>
      <c r="K163" s="98">
        <f t="shared" si="12"/>
        <v>1221240.08</v>
      </c>
      <c r="N163" s="98">
        <f>SUM(N114:N162)</f>
        <v>834197.1799999999</v>
      </c>
      <c r="O163" s="134"/>
      <c r="P163" s="98">
        <f>SUM(P114:P162)</f>
        <v>837883.1799999999</v>
      </c>
      <c r="Q163" s="134"/>
      <c r="R163" s="98">
        <f>SUM(R114:R162)</f>
        <v>846716.534</v>
      </c>
      <c r="S163" s="134"/>
      <c r="T163" s="98">
        <f>SUM(T114:T162)</f>
        <v>839559.9729</v>
      </c>
      <c r="U163" s="134"/>
    </row>
    <row r="164" spans="1:10" s="77" customFormat="1" ht="12.75" customHeight="1" hidden="1">
      <c r="A164" s="151" t="s">
        <v>133</v>
      </c>
      <c r="B164" s="152"/>
      <c r="C164" s="152"/>
      <c r="D164" s="152"/>
      <c r="E164" s="152"/>
      <c r="F164" s="76"/>
      <c r="I164" s="123"/>
      <c r="J164" s="123"/>
    </row>
    <row r="165" spans="1:21" s="77" customFormat="1" ht="12" customHeight="1" hidden="1">
      <c r="A165" s="25"/>
      <c r="B165" s="4">
        <v>211</v>
      </c>
      <c r="C165" s="4">
        <v>1290</v>
      </c>
      <c r="D165" s="105" t="s">
        <v>163</v>
      </c>
      <c r="E165" s="6" t="s">
        <v>167</v>
      </c>
      <c r="F165" s="41">
        <v>44205</v>
      </c>
      <c r="H165" s="41">
        <f>F165+G165</f>
        <v>44205</v>
      </c>
      <c r="I165" s="76">
        <v>795</v>
      </c>
      <c r="J165" s="41">
        <f>SUM(H165:I165)</f>
        <v>45000</v>
      </c>
      <c r="K165" s="41"/>
      <c r="N165" s="41"/>
      <c r="O165" s="41"/>
      <c r="P165" s="41"/>
      <c r="Q165" s="41"/>
      <c r="R165" s="41"/>
      <c r="S165" s="41"/>
      <c r="T165" s="41"/>
      <c r="U165" s="41"/>
    </row>
    <row r="166" spans="1:21" s="77" customFormat="1" ht="12" customHeight="1" hidden="1">
      <c r="A166" s="25"/>
      <c r="B166" s="4">
        <v>211</v>
      </c>
      <c r="C166" s="4">
        <v>2110</v>
      </c>
      <c r="D166" s="105" t="s">
        <v>163</v>
      </c>
      <c r="E166" s="6" t="s">
        <v>64</v>
      </c>
      <c r="F166" s="41"/>
      <c r="H166" s="41"/>
      <c r="I166" s="76">
        <v>181</v>
      </c>
      <c r="J166" s="41">
        <f>SUM(H166:I166)</f>
        <v>181</v>
      </c>
      <c r="K166" s="41"/>
      <c r="N166" s="41"/>
      <c r="O166" s="41"/>
      <c r="P166" s="41"/>
      <c r="Q166" s="41"/>
      <c r="R166" s="41"/>
      <c r="S166" s="41"/>
      <c r="T166" s="41"/>
      <c r="U166" s="41"/>
    </row>
    <row r="167" spans="1:21" s="77" customFormat="1" ht="12.75" customHeight="1" hidden="1">
      <c r="A167" s="25"/>
      <c r="B167" s="4">
        <v>211</v>
      </c>
      <c r="C167" s="4">
        <v>2130</v>
      </c>
      <c r="D167" s="105" t="s">
        <v>163</v>
      </c>
      <c r="E167" s="6" t="s">
        <v>15</v>
      </c>
      <c r="F167" s="41">
        <v>0</v>
      </c>
      <c r="H167" s="41">
        <f>F167+G167</f>
        <v>0</v>
      </c>
      <c r="I167" s="76">
        <v>2834</v>
      </c>
      <c r="J167" s="41">
        <f>SUM(H167:I167)</f>
        <v>2834</v>
      </c>
      <c r="K167" s="41"/>
      <c r="N167" s="41"/>
      <c r="O167" s="41"/>
      <c r="P167" s="41"/>
      <c r="Q167" s="41"/>
      <c r="R167" s="41"/>
      <c r="S167" s="41"/>
      <c r="T167" s="41"/>
      <c r="U167" s="41"/>
    </row>
    <row r="168" spans="1:21" s="77" customFormat="1" ht="12.75" customHeight="1" hidden="1">
      <c r="A168" s="25"/>
      <c r="B168" s="4">
        <v>211</v>
      </c>
      <c r="C168" s="4">
        <v>2820</v>
      </c>
      <c r="D168" s="105" t="s">
        <v>163</v>
      </c>
      <c r="E168" s="6" t="s">
        <v>16</v>
      </c>
      <c r="F168" s="76">
        <f>SUM(F165*0.06)</f>
        <v>2652.2999999999997</v>
      </c>
      <c r="H168" s="41">
        <f>F168+G168</f>
        <v>2652.2999999999997</v>
      </c>
      <c r="I168" s="76">
        <f>J168-H168</f>
        <v>47.70000000000027</v>
      </c>
      <c r="J168" s="41">
        <f>J165*0.06</f>
        <v>2700</v>
      </c>
      <c r="K168" s="41"/>
      <c r="N168" s="41"/>
      <c r="O168" s="41"/>
      <c r="P168" s="41"/>
      <c r="Q168" s="41"/>
      <c r="R168" s="41"/>
      <c r="S168" s="41"/>
      <c r="T168" s="41"/>
      <c r="U168" s="41"/>
    </row>
    <row r="169" spans="1:21" s="77" customFormat="1" ht="12.75" customHeight="1" hidden="1">
      <c r="A169" s="25"/>
      <c r="B169" s="4">
        <v>211</v>
      </c>
      <c r="C169" s="4">
        <v>2830</v>
      </c>
      <c r="D169" s="105" t="s">
        <v>163</v>
      </c>
      <c r="E169" s="6" t="s">
        <v>17</v>
      </c>
      <c r="F169" s="76">
        <f>SUM(F165*0.0765)</f>
        <v>3381.6825</v>
      </c>
      <c r="H169" s="41">
        <f>F169+G169</f>
        <v>3381.6825</v>
      </c>
      <c r="I169" s="76">
        <f>J169-H169</f>
        <v>60.81750000000011</v>
      </c>
      <c r="J169" s="41">
        <f>J165*0.0765</f>
        <v>3442.5</v>
      </c>
      <c r="K169" s="41"/>
      <c r="N169" s="41"/>
      <c r="O169" s="41"/>
      <c r="P169" s="41"/>
      <c r="Q169" s="41"/>
      <c r="R169" s="41"/>
      <c r="S169" s="41"/>
      <c r="T169" s="41"/>
      <c r="U169" s="41"/>
    </row>
    <row r="170" spans="1:21" s="77" customFormat="1" ht="12.75" customHeight="1" hidden="1">
      <c r="A170" s="25"/>
      <c r="B170" s="4">
        <v>211</v>
      </c>
      <c r="C170" s="4">
        <v>2840</v>
      </c>
      <c r="D170" s="105" t="s">
        <v>163</v>
      </c>
      <c r="E170" s="6" t="s">
        <v>18</v>
      </c>
      <c r="F170" s="76">
        <f>SUM(F165*0.0055)</f>
        <v>243.1275</v>
      </c>
      <c r="H170" s="41">
        <f>F170+G170</f>
        <v>243.1275</v>
      </c>
      <c r="I170" s="76">
        <f>J170-H170</f>
        <v>4.372499999999974</v>
      </c>
      <c r="J170" s="41">
        <f>J165*0.0055</f>
        <v>247.49999999999997</v>
      </c>
      <c r="K170" s="41"/>
      <c r="N170" s="41"/>
      <c r="O170" s="41"/>
      <c r="P170" s="41"/>
      <c r="Q170" s="41"/>
      <c r="R170" s="41"/>
      <c r="S170" s="41"/>
      <c r="T170" s="41"/>
      <c r="U170" s="41"/>
    </row>
    <row r="171" spans="1:21" s="77" customFormat="1" ht="12.75" customHeight="1" hidden="1">
      <c r="A171" s="25"/>
      <c r="B171" s="4">
        <v>211</v>
      </c>
      <c r="C171" s="4">
        <v>2850</v>
      </c>
      <c r="D171" s="105" t="s">
        <v>163</v>
      </c>
      <c r="E171" s="6" t="s">
        <v>19</v>
      </c>
      <c r="F171" s="76">
        <v>995</v>
      </c>
      <c r="H171" s="41">
        <f>F171+G171</f>
        <v>995</v>
      </c>
      <c r="I171" s="76">
        <v>-500</v>
      </c>
      <c r="J171" s="41">
        <f>SUM(H171:I171)</f>
        <v>495</v>
      </c>
      <c r="K171" s="41"/>
      <c r="N171" s="41"/>
      <c r="O171" s="41"/>
      <c r="P171" s="41"/>
      <c r="Q171" s="41"/>
      <c r="R171" s="41"/>
      <c r="S171" s="41"/>
      <c r="T171" s="41"/>
      <c r="U171" s="41"/>
    </row>
    <row r="172" spans="1:10" s="77" customFormat="1" ht="12.75" customHeight="1" hidden="1">
      <c r="A172" s="21"/>
      <c r="B172" s="4">
        <v>211</v>
      </c>
      <c r="C172" s="4">
        <v>5990</v>
      </c>
      <c r="D172" s="105" t="s">
        <v>163</v>
      </c>
      <c r="E172" s="6" t="s">
        <v>67</v>
      </c>
      <c r="F172" s="76"/>
      <c r="H172" s="41"/>
      <c r="I172" s="76"/>
      <c r="J172" s="123"/>
    </row>
    <row r="173" spans="1:10" ht="12.75">
      <c r="A173" s="151" t="s">
        <v>88</v>
      </c>
      <c r="B173" s="155"/>
      <c r="C173" s="155"/>
      <c r="D173" s="155"/>
      <c r="E173" s="156"/>
      <c r="F173" s="41"/>
      <c r="H173" s="41"/>
      <c r="I173" s="41"/>
      <c r="J173" s="37"/>
    </row>
    <row r="174" spans="1:10" ht="12.75" hidden="1">
      <c r="A174" s="25"/>
      <c r="B174" s="4">
        <v>212</v>
      </c>
      <c r="C174" s="4">
        <v>1220</v>
      </c>
      <c r="D174" s="105" t="s">
        <v>164</v>
      </c>
      <c r="E174" s="6" t="s">
        <v>86</v>
      </c>
      <c r="F174" s="41"/>
      <c r="H174" s="41"/>
      <c r="I174" s="41"/>
      <c r="J174" s="37"/>
    </row>
    <row r="175" spans="1:21" ht="12.75">
      <c r="A175" s="25"/>
      <c r="B175" s="4">
        <v>212</v>
      </c>
      <c r="C175" s="4">
        <v>1290</v>
      </c>
      <c r="D175" s="105" t="s">
        <v>166</v>
      </c>
      <c r="E175" s="6" t="s">
        <v>191</v>
      </c>
      <c r="F175" s="41">
        <v>185123</v>
      </c>
      <c r="G175" s="41">
        <v>-42802</v>
      </c>
      <c r="H175" s="41">
        <f>F175+G175</f>
        <v>142321</v>
      </c>
      <c r="I175" s="41">
        <v>20000</v>
      </c>
      <c r="J175" s="41">
        <f>SUM(H175:I175)</f>
        <v>162321</v>
      </c>
      <c r="K175" s="41">
        <v>162321</v>
      </c>
      <c r="N175" s="41">
        <v>154460</v>
      </c>
      <c r="O175" s="41"/>
      <c r="P175" s="41">
        <v>154460</v>
      </c>
      <c r="Q175" s="41"/>
      <c r="R175" s="41">
        <v>159094</v>
      </c>
      <c r="S175" s="41"/>
      <c r="T175" s="41">
        <v>159094</v>
      </c>
      <c r="U175" s="41"/>
    </row>
    <row r="176" spans="1:21" ht="12.75">
      <c r="A176" s="25"/>
      <c r="B176" s="4">
        <v>212</v>
      </c>
      <c r="C176" s="4">
        <v>3130</v>
      </c>
      <c r="D176" s="105" t="s">
        <v>163</v>
      </c>
      <c r="E176" s="6" t="s">
        <v>191</v>
      </c>
      <c r="F176" s="6" t="s">
        <v>252</v>
      </c>
      <c r="G176" s="41"/>
      <c r="H176" s="41"/>
      <c r="I176" s="41"/>
      <c r="J176" s="41"/>
      <c r="K176" s="41"/>
      <c r="N176" s="41"/>
      <c r="O176" s="41"/>
      <c r="P176" s="41"/>
      <c r="Q176" s="41"/>
      <c r="R176" s="41">
        <v>45000</v>
      </c>
      <c r="S176" s="41"/>
      <c r="T176" s="41">
        <v>45000</v>
      </c>
      <c r="U176" s="41"/>
    </row>
    <row r="177" spans="1:10" ht="12.75" hidden="1">
      <c r="A177" s="25"/>
      <c r="B177" s="4">
        <v>212</v>
      </c>
      <c r="C177" s="4">
        <v>2110</v>
      </c>
      <c r="D177" s="105" t="s">
        <v>163</v>
      </c>
      <c r="E177" s="6" t="s">
        <v>64</v>
      </c>
      <c r="F177" s="41"/>
      <c r="G177" s="41"/>
      <c r="H177" s="41"/>
      <c r="I177" s="41"/>
      <c r="J177" s="37"/>
    </row>
    <row r="178" spans="1:21" ht="12.75">
      <c r="A178" s="25"/>
      <c r="B178" s="4">
        <v>212</v>
      </c>
      <c r="C178" s="4">
        <v>2110</v>
      </c>
      <c r="D178" s="105" t="s">
        <v>166</v>
      </c>
      <c r="E178" s="6" t="s">
        <v>64</v>
      </c>
      <c r="F178" s="41">
        <v>1308</v>
      </c>
      <c r="G178" s="41"/>
      <c r="H178" s="41">
        <f>F178+G178</f>
        <v>1308</v>
      </c>
      <c r="I178" s="41"/>
      <c r="J178" s="41">
        <f>SUM(H178:I178)</f>
        <v>1308</v>
      </c>
      <c r="K178" s="41">
        <f>SUM(I178:J178)</f>
        <v>1308</v>
      </c>
      <c r="N178" s="41">
        <f>SUM(K178:L178)</f>
        <v>1308</v>
      </c>
      <c r="O178" s="41"/>
      <c r="P178" s="41">
        <f>SUM(M178:N178)</f>
        <v>1308</v>
      </c>
      <c r="Q178" s="41"/>
      <c r="R178" s="41">
        <f>SUM(O178:P178)</f>
        <v>1308</v>
      </c>
      <c r="S178" s="41"/>
      <c r="T178" s="41">
        <f>SUM(Q178:R178)</f>
        <v>1308</v>
      </c>
      <c r="U178" s="41"/>
    </row>
    <row r="179" spans="1:21" ht="12.75">
      <c r="A179" s="25"/>
      <c r="B179" s="4">
        <v>212</v>
      </c>
      <c r="C179" s="4">
        <v>2130</v>
      </c>
      <c r="D179" s="105" t="s">
        <v>164</v>
      </c>
      <c r="E179" s="6" t="s">
        <v>15</v>
      </c>
      <c r="F179" s="41"/>
      <c r="G179" s="41"/>
      <c r="H179" s="41"/>
      <c r="I179" s="41"/>
      <c r="R179" s="41">
        <f>3400*1.05</f>
        <v>3570</v>
      </c>
      <c r="S179" s="41"/>
      <c r="T179" s="41">
        <f>R179*1.05</f>
        <v>3748.5</v>
      </c>
      <c r="U179" s="41"/>
    </row>
    <row r="180" spans="1:21" ht="12.75">
      <c r="A180" s="25"/>
      <c r="B180" s="4">
        <v>212</v>
      </c>
      <c r="C180" s="4">
        <v>2130</v>
      </c>
      <c r="D180" s="105" t="s">
        <v>166</v>
      </c>
      <c r="E180" s="6" t="s">
        <v>15</v>
      </c>
      <c r="F180" s="41">
        <v>22000</v>
      </c>
      <c r="G180" s="41">
        <v>-3000</v>
      </c>
      <c r="H180" s="41">
        <f>F180+G180</f>
        <v>19000</v>
      </c>
      <c r="I180" s="41">
        <v>-148</v>
      </c>
      <c r="J180" s="41">
        <f>SUM(H180:I180)</f>
        <v>18852</v>
      </c>
      <c r="K180" s="41">
        <v>20000</v>
      </c>
      <c r="N180" s="41">
        <v>21000</v>
      </c>
      <c r="O180" s="41"/>
      <c r="P180" s="41">
        <v>22050</v>
      </c>
      <c r="Q180" s="41"/>
      <c r="R180" s="41">
        <v>23153</v>
      </c>
      <c r="S180" s="41"/>
      <c r="T180" s="41">
        <v>24311</v>
      </c>
      <c r="U180" s="41"/>
    </row>
    <row r="181" spans="1:21" ht="12.75">
      <c r="A181" s="25"/>
      <c r="B181" s="4">
        <v>212</v>
      </c>
      <c r="C181" s="4">
        <v>2820</v>
      </c>
      <c r="D181" s="105" t="s">
        <v>164</v>
      </c>
      <c r="E181" s="6" t="s">
        <v>16</v>
      </c>
      <c r="F181" s="41"/>
      <c r="G181" s="41"/>
      <c r="H181" s="41"/>
      <c r="I181" s="41"/>
      <c r="R181" s="41">
        <f>R176*0.03</f>
        <v>1350</v>
      </c>
      <c r="S181" s="41"/>
      <c r="T181" s="41">
        <f>T176*0.03</f>
        <v>1350</v>
      </c>
      <c r="U181" s="41"/>
    </row>
    <row r="182" spans="1:21" ht="12.75">
      <c r="A182" s="25"/>
      <c r="B182" s="4">
        <v>212</v>
      </c>
      <c r="C182" s="4">
        <v>2820</v>
      </c>
      <c r="D182" s="105" t="s">
        <v>166</v>
      </c>
      <c r="E182" s="6" t="s">
        <v>16</v>
      </c>
      <c r="F182" s="41">
        <f>SUM(F175*0.06)</f>
        <v>11107.38</v>
      </c>
      <c r="G182" s="41">
        <f>SUM(G175*0.06)</f>
        <v>-2568.12</v>
      </c>
      <c r="H182" s="41">
        <f>F182+G182</f>
        <v>8539.259999999998</v>
      </c>
      <c r="I182" s="41"/>
      <c r="J182" s="41">
        <f>SUM(H182:I182)</f>
        <v>8539.259999999998</v>
      </c>
      <c r="K182" s="41">
        <f>K175*0.03</f>
        <v>4869.63</v>
      </c>
      <c r="N182" s="41">
        <f>N175*0.03</f>
        <v>4633.8</v>
      </c>
      <c r="O182" s="41"/>
      <c r="P182" s="41">
        <f>P175*0.03</f>
        <v>4633.8</v>
      </c>
      <c r="Q182" s="41"/>
      <c r="R182" s="41">
        <f>R175*0.03</f>
        <v>4772.82</v>
      </c>
      <c r="S182" s="41"/>
      <c r="T182" s="41">
        <f>T175*0.03</f>
        <v>4772.82</v>
      </c>
      <c r="U182" s="41"/>
    </row>
    <row r="183" spans="1:21" ht="12.75">
      <c r="A183" s="25"/>
      <c r="B183" s="4">
        <v>212</v>
      </c>
      <c r="C183" s="4">
        <v>2830</v>
      </c>
      <c r="D183" s="105" t="s">
        <v>164</v>
      </c>
      <c r="E183" s="6" t="s">
        <v>17</v>
      </c>
      <c r="F183" s="41"/>
      <c r="G183" s="41"/>
      <c r="H183" s="41"/>
      <c r="I183" s="41"/>
      <c r="R183" s="41">
        <f>R176*0.0765</f>
        <v>3442.5</v>
      </c>
      <c r="S183" s="41"/>
      <c r="T183" s="41">
        <f>T176*0.0765</f>
        <v>3442.5</v>
      </c>
      <c r="U183" s="41"/>
    </row>
    <row r="184" spans="1:21" ht="12.75">
      <c r="A184" s="25"/>
      <c r="B184" s="4">
        <v>212</v>
      </c>
      <c r="C184" s="4">
        <v>2830</v>
      </c>
      <c r="D184" s="105" t="s">
        <v>166</v>
      </c>
      <c r="E184" s="6" t="s">
        <v>17</v>
      </c>
      <c r="F184" s="41">
        <f>SUM(F175*0.0765)</f>
        <v>14161.9095</v>
      </c>
      <c r="G184" s="41">
        <f>SUM(G175*0.0765)</f>
        <v>-3274.353</v>
      </c>
      <c r="H184" s="41">
        <f>F184+G184</f>
        <v>10887.556499999999</v>
      </c>
      <c r="I184" s="41">
        <f>I175*0.0765</f>
        <v>1530</v>
      </c>
      <c r="J184" s="41">
        <f>SUM(H184:I184)</f>
        <v>12417.556499999999</v>
      </c>
      <c r="K184" s="41">
        <f>K175*0.0765</f>
        <v>12417.5565</v>
      </c>
      <c r="N184" s="41">
        <f>N175*0.0765</f>
        <v>11816.19</v>
      </c>
      <c r="O184" s="41"/>
      <c r="P184" s="41">
        <f>P175*0.0765</f>
        <v>11816.19</v>
      </c>
      <c r="Q184" s="41"/>
      <c r="R184" s="41">
        <f>R175*0.0765</f>
        <v>12170.690999999999</v>
      </c>
      <c r="S184" s="41"/>
      <c r="T184" s="41">
        <f>T175*0.0765</f>
        <v>12170.690999999999</v>
      </c>
      <c r="U184" s="41"/>
    </row>
    <row r="185" spans="1:21" ht="12.75">
      <c r="A185" s="25"/>
      <c r="B185" s="4">
        <v>212</v>
      </c>
      <c r="C185" s="4">
        <v>2840</v>
      </c>
      <c r="D185" s="105" t="s">
        <v>164</v>
      </c>
      <c r="E185" s="6" t="s">
        <v>18</v>
      </c>
      <c r="F185" s="41"/>
      <c r="G185" s="41"/>
      <c r="H185" s="41"/>
      <c r="I185" s="41"/>
      <c r="R185" s="41">
        <f>R176*0.0055</f>
        <v>247.49999999999997</v>
      </c>
      <c r="S185" s="41"/>
      <c r="T185" s="41">
        <f>T176*0.0034</f>
        <v>153</v>
      </c>
      <c r="U185" s="41"/>
    </row>
    <row r="186" spans="1:21" ht="12.75">
      <c r="A186" s="25"/>
      <c r="B186" s="4">
        <v>212</v>
      </c>
      <c r="C186" s="4">
        <v>2840</v>
      </c>
      <c r="D186" s="105" t="s">
        <v>166</v>
      </c>
      <c r="E186" s="6" t="s">
        <v>18</v>
      </c>
      <c r="F186" s="41">
        <f>SUM(F175*0.0055)</f>
        <v>1018.1764999999999</v>
      </c>
      <c r="G186" s="41">
        <f>SUM(G175*0.0055)</f>
        <v>-235.41099999999997</v>
      </c>
      <c r="H186" s="41">
        <f>F186+G186</f>
        <v>782.7655</v>
      </c>
      <c r="I186" s="41">
        <f>I175*0.0055</f>
        <v>110</v>
      </c>
      <c r="J186" s="41">
        <f>SUM(H186:I186)</f>
        <v>892.7655</v>
      </c>
      <c r="K186" s="41">
        <f>K175*0.0055</f>
        <v>892.7655</v>
      </c>
      <c r="N186" s="41">
        <f>N175*0.0055</f>
        <v>849.53</v>
      </c>
      <c r="O186" s="41"/>
      <c r="P186" s="41">
        <f>P175*0.0055</f>
        <v>849.53</v>
      </c>
      <c r="Q186" s="41"/>
      <c r="R186" s="41">
        <f>R175*0.0055</f>
        <v>875.0169999999999</v>
      </c>
      <c r="S186" s="41"/>
      <c r="T186" s="41">
        <f>T175*0.0034</f>
        <v>540.9196</v>
      </c>
      <c r="U186" s="41"/>
    </row>
    <row r="187" spans="1:21" ht="12.75">
      <c r="A187" s="25"/>
      <c r="B187" s="4">
        <v>212</v>
      </c>
      <c r="C187" s="4">
        <v>2850</v>
      </c>
      <c r="D187" s="105" t="s">
        <v>164</v>
      </c>
      <c r="E187" s="6" t="s">
        <v>19</v>
      </c>
      <c r="F187" s="41"/>
      <c r="G187" s="41"/>
      <c r="H187" s="41"/>
      <c r="I187" s="41"/>
      <c r="R187" s="41">
        <f>9500*0.0815</f>
        <v>774.25</v>
      </c>
      <c r="S187" s="41"/>
      <c r="T187" s="41">
        <f>9500*0.0815</f>
        <v>774.25</v>
      </c>
      <c r="U187" s="41"/>
    </row>
    <row r="188" spans="1:21" ht="12.75">
      <c r="A188" s="25"/>
      <c r="B188" s="4">
        <v>212</v>
      </c>
      <c r="C188" s="4">
        <v>2850</v>
      </c>
      <c r="D188" s="105" t="s">
        <v>166</v>
      </c>
      <c r="E188" s="6" t="s">
        <v>19</v>
      </c>
      <c r="F188" s="41">
        <v>2984</v>
      </c>
      <c r="G188" s="41"/>
      <c r="H188" s="41">
        <f>F188+G188</f>
        <v>2984</v>
      </c>
      <c r="I188" s="41">
        <v>-984</v>
      </c>
      <c r="J188" s="41">
        <f>SUM(H188:I188)</f>
        <v>2000</v>
      </c>
      <c r="K188" s="41">
        <f>9500*4*0.0573</f>
        <v>2177.4</v>
      </c>
      <c r="N188" s="41">
        <f>9500*4*0.0573</f>
        <v>2177.4</v>
      </c>
      <c r="O188" s="41"/>
      <c r="P188" s="41">
        <f>9500*4*0.0573</f>
        <v>2177.4</v>
      </c>
      <c r="Q188" s="41"/>
      <c r="R188" s="41">
        <f>9500*4*0.0573</f>
        <v>2177.4</v>
      </c>
      <c r="S188" s="41"/>
      <c r="T188" s="41">
        <f>9500*4*0.0815</f>
        <v>3097</v>
      </c>
      <c r="U188" s="41"/>
    </row>
    <row r="189" spans="1:9" ht="12.75">
      <c r="A189" s="25"/>
      <c r="B189" s="29">
        <v>212</v>
      </c>
      <c r="C189" s="29">
        <v>7910</v>
      </c>
      <c r="D189" s="105" t="s">
        <v>164</v>
      </c>
      <c r="E189" s="12" t="s">
        <v>0</v>
      </c>
      <c r="F189" s="41"/>
      <c r="G189" s="41"/>
      <c r="H189" s="41"/>
      <c r="I189" s="37"/>
    </row>
    <row r="190" spans="1:9" ht="12" customHeight="1">
      <c r="A190" s="151" t="s">
        <v>117</v>
      </c>
      <c r="B190" s="152"/>
      <c r="C190" s="152"/>
      <c r="D190" s="152"/>
      <c r="E190" s="152" t="s">
        <v>53</v>
      </c>
      <c r="F190" s="41"/>
      <c r="G190" s="41"/>
      <c r="H190" s="41"/>
      <c r="I190" s="37"/>
    </row>
    <row r="191" spans="1:10" ht="12.75" hidden="1">
      <c r="A191" s="25"/>
      <c r="B191" s="4">
        <v>213</v>
      </c>
      <c r="C191" s="4">
        <v>1450</v>
      </c>
      <c r="D191" s="105" t="s">
        <v>164</v>
      </c>
      <c r="E191" s="6" t="s">
        <v>95</v>
      </c>
      <c r="F191" s="41">
        <v>40000</v>
      </c>
      <c r="G191" s="41"/>
      <c r="H191" s="41">
        <f aca="true" t="shared" si="13" ref="H191:H197">F191+G191</f>
        <v>40000</v>
      </c>
      <c r="I191" s="41">
        <v>-40000</v>
      </c>
      <c r="J191" s="41">
        <f>SUM(H191:I191)</f>
        <v>0</v>
      </c>
    </row>
    <row r="192" spans="1:10" ht="12.75" hidden="1">
      <c r="A192" s="25"/>
      <c r="B192" s="4">
        <v>213</v>
      </c>
      <c r="C192" s="4">
        <v>2110</v>
      </c>
      <c r="D192" s="105" t="s">
        <v>164</v>
      </c>
      <c r="E192" s="6" t="s">
        <v>64</v>
      </c>
      <c r="F192" s="41">
        <v>250</v>
      </c>
      <c r="G192" s="41"/>
      <c r="H192" s="41">
        <f t="shared" si="13"/>
        <v>250</v>
      </c>
      <c r="I192" s="41">
        <v>-250</v>
      </c>
      <c r="J192" s="41">
        <f aca="true" t="shared" si="14" ref="J192:K199">SUM(H192:I192)</f>
        <v>0</v>
      </c>
    </row>
    <row r="193" spans="1:10" ht="12.75" hidden="1">
      <c r="A193" s="25"/>
      <c r="B193" s="4">
        <v>213</v>
      </c>
      <c r="C193" s="4">
        <v>2130</v>
      </c>
      <c r="D193" s="105" t="s">
        <v>164</v>
      </c>
      <c r="E193" s="6" t="s">
        <v>15</v>
      </c>
      <c r="F193" s="41">
        <v>6000</v>
      </c>
      <c r="G193" s="41"/>
      <c r="H193" s="41">
        <f t="shared" si="13"/>
        <v>6000</v>
      </c>
      <c r="I193" s="41">
        <v>-6000</v>
      </c>
      <c r="J193" s="41">
        <f t="shared" si="14"/>
        <v>0</v>
      </c>
    </row>
    <row r="194" spans="1:10" ht="12.75" hidden="1">
      <c r="A194" s="25"/>
      <c r="B194" s="4">
        <v>213</v>
      </c>
      <c r="C194" s="4">
        <v>2820</v>
      </c>
      <c r="D194" s="105" t="s">
        <v>164</v>
      </c>
      <c r="E194" s="6" t="s">
        <v>16</v>
      </c>
      <c r="F194" s="41">
        <f>SUM(F191*0.06)</f>
        <v>2400</v>
      </c>
      <c r="G194" s="41"/>
      <c r="H194" s="41">
        <f t="shared" si="13"/>
        <v>2400</v>
      </c>
      <c r="I194" s="41">
        <v>-2400</v>
      </c>
      <c r="J194" s="41">
        <f t="shared" si="14"/>
        <v>0</v>
      </c>
    </row>
    <row r="195" spans="1:10" ht="12.75" hidden="1">
      <c r="A195" s="25"/>
      <c r="B195" s="4">
        <v>213</v>
      </c>
      <c r="C195" s="4">
        <v>2830</v>
      </c>
      <c r="D195" s="105" t="s">
        <v>164</v>
      </c>
      <c r="E195" s="6" t="s">
        <v>17</v>
      </c>
      <c r="F195" s="41">
        <f>SUM(F191*0.0765)</f>
        <v>3060</v>
      </c>
      <c r="G195" s="41"/>
      <c r="H195" s="41">
        <f t="shared" si="13"/>
        <v>3060</v>
      </c>
      <c r="I195" s="41">
        <v>-3060</v>
      </c>
      <c r="J195" s="41">
        <f t="shared" si="14"/>
        <v>0</v>
      </c>
    </row>
    <row r="196" spans="1:10" ht="12" customHeight="1" hidden="1">
      <c r="A196" s="25"/>
      <c r="B196" s="4">
        <v>213</v>
      </c>
      <c r="C196" s="4">
        <v>2840</v>
      </c>
      <c r="D196" s="105" t="s">
        <v>164</v>
      </c>
      <c r="E196" s="6" t="s">
        <v>18</v>
      </c>
      <c r="F196" s="41">
        <f>SUM(F191*0.0055)</f>
        <v>220</v>
      </c>
      <c r="G196" s="41"/>
      <c r="H196" s="41">
        <f t="shared" si="13"/>
        <v>220</v>
      </c>
      <c r="I196" s="41">
        <v>-220</v>
      </c>
      <c r="J196" s="41">
        <f t="shared" si="14"/>
        <v>0</v>
      </c>
    </row>
    <row r="197" spans="1:10" ht="12.75" customHeight="1" hidden="1">
      <c r="A197" s="25"/>
      <c r="B197" s="4">
        <v>213</v>
      </c>
      <c r="C197" s="4">
        <v>2850</v>
      </c>
      <c r="D197" s="105" t="s">
        <v>164</v>
      </c>
      <c r="E197" s="6" t="s">
        <v>19</v>
      </c>
      <c r="F197" s="41">
        <v>995</v>
      </c>
      <c r="G197" s="41"/>
      <c r="H197" s="41">
        <f t="shared" si="13"/>
        <v>995</v>
      </c>
      <c r="I197" s="41">
        <v>-995</v>
      </c>
      <c r="J197" s="41">
        <f t="shared" si="14"/>
        <v>0</v>
      </c>
    </row>
    <row r="198" spans="1:21" ht="12.75" customHeight="1">
      <c r="A198" s="25"/>
      <c r="B198" s="4">
        <v>213</v>
      </c>
      <c r="C198" s="4">
        <v>3150</v>
      </c>
      <c r="D198" s="105" t="s">
        <v>164</v>
      </c>
      <c r="E198" s="6" t="s">
        <v>214</v>
      </c>
      <c r="F198" s="41"/>
      <c r="G198" s="41"/>
      <c r="H198" s="41"/>
      <c r="I198" s="41">
        <v>44980</v>
      </c>
      <c r="J198" s="41">
        <f t="shared" si="14"/>
        <v>44980</v>
      </c>
      <c r="K198" s="41">
        <v>44980</v>
      </c>
      <c r="N198" s="41">
        <v>44980</v>
      </c>
      <c r="O198" s="41"/>
      <c r="P198" s="41">
        <v>44980</v>
      </c>
      <c r="Q198" s="41"/>
      <c r="R198" s="41">
        <v>48000</v>
      </c>
      <c r="S198" s="41"/>
      <c r="T198" s="41">
        <v>48000</v>
      </c>
      <c r="U198" s="41"/>
    </row>
    <row r="199" spans="1:21" ht="12.75">
      <c r="A199" s="25"/>
      <c r="B199" s="4">
        <v>213</v>
      </c>
      <c r="C199" s="4">
        <v>5990</v>
      </c>
      <c r="D199" s="105" t="s">
        <v>164</v>
      </c>
      <c r="E199" s="6" t="s">
        <v>67</v>
      </c>
      <c r="F199" s="41">
        <v>500</v>
      </c>
      <c r="G199" s="41"/>
      <c r="H199" s="41">
        <f>F199+G199</f>
        <v>500</v>
      </c>
      <c r="I199" s="56"/>
      <c r="J199" s="41">
        <f t="shared" si="14"/>
        <v>500</v>
      </c>
      <c r="K199" s="41">
        <f t="shared" si="14"/>
        <v>500</v>
      </c>
      <c r="N199" s="41">
        <f>SUM(K199:L199)</f>
        <v>500</v>
      </c>
      <c r="O199" s="41"/>
      <c r="P199" s="41">
        <f>SUM(M199:N199)</f>
        <v>500</v>
      </c>
      <c r="Q199" s="41"/>
      <c r="R199" s="41">
        <f>SUM(O199:P199)</f>
        <v>500</v>
      </c>
      <c r="S199" s="41"/>
      <c r="T199" s="41">
        <f>SUM(Q199:R199)</f>
        <v>500</v>
      </c>
      <c r="U199" s="41"/>
    </row>
    <row r="200" spans="1:9" ht="12.75">
      <c r="A200" s="151" t="s">
        <v>118</v>
      </c>
      <c r="B200" s="152"/>
      <c r="C200" s="152"/>
      <c r="D200" s="152"/>
      <c r="E200" s="152" t="s">
        <v>29</v>
      </c>
      <c r="F200" s="41"/>
      <c r="I200" s="56"/>
    </row>
    <row r="201" spans="1:9" ht="12.75" hidden="1">
      <c r="A201" s="25"/>
      <c r="B201" s="4">
        <v>214</v>
      </c>
      <c r="C201" s="4">
        <v>1430</v>
      </c>
      <c r="D201" s="105" t="s">
        <v>165</v>
      </c>
      <c r="E201" s="103" t="s">
        <v>28</v>
      </c>
      <c r="F201" s="41"/>
      <c r="I201" s="56"/>
    </row>
    <row r="202" spans="1:9" ht="12.75" hidden="1">
      <c r="A202" s="25"/>
      <c r="B202" s="4">
        <v>214</v>
      </c>
      <c r="C202" s="4">
        <v>1790</v>
      </c>
      <c r="D202" s="105" t="s">
        <v>165</v>
      </c>
      <c r="E202" s="6" t="s">
        <v>155</v>
      </c>
      <c r="F202" s="41"/>
      <c r="I202" s="56"/>
    </row>
    <row r="203" spans="1:9" ht="12.75" hidden="1">
      <c r="A203" s="25"/>
      <c r="B203" s="4">
        <v>214</v>
      </c>
      <c r="C203" s="45">
        <v>2110</v>
      </c>
      <c r="D203" s="105" t="s">
        <v>165</v>
      </c>
      <c r="E203" s="6" t="s">
        <v>64</v>
      </c>
      <c r="F203" s="41"/>
      <c r="I203" s="56"/>
    </row>
    <row r="204" spans="1:9" ht="12.75" hidden="1">
      <c r="A204" s="25"/>
      <c r="B204" s="4">
        <v>214</v>
      </c>
      <c r="C204" s="29">
        <v>2130</v>
      </c>
      <c r="D204" s="105" t="s">
        <v>165</v>
      </c>
      <c r="E204" s="6" t="s">
        <v>15</v>
      </c>
      <c r="F204" s="41"/>
      <c r="I204" s="56"/>
    </row>
    <row r="205" spans="1:9" ht="12.75" hidden="1">
      <c r="A205" s="25"/>
      <c r="B205" s="4">
        <v>214</v>
      </c>
      <c r="C205" s="29">
        <v>2820</v>
      </c>
      <c r="D205" s="105" t="s">
        <v>165</v>
      </c>
      <c r="E205" s="6" t="s">
        <v>16</v>
      </c>
      <c r="F205" s="41"/>
      <c r="I205" s="56"/>
    </row>
    <row r="206" spans="1:9" ht="12.75" hidden="1">
      <c r="A206" s="25"/>
      <c r="B206" s="4">
        <v>214</v>
      </c>
      <c r="C206" s="29">
        <v>2830</v>
      </c>
      <c r="D206" s="105" t="s">
        <v>165</v>
      </c>
      <c r="E206" s="6" t="s">
        <v>17</v>
      </c>
      <c r="F206" s="41"/>
      <c r="I206" s="56"/>
    </row>
    <row r="207" spans="1:9" ht="12.75" hidden="1">
      <c r="A207" s="25"/>
      <c r="B207" s="4">
        <v>214</v>
      </c>
      <c r="C207" s="4">
        <v>2840</v>
      </c>
      <c r="D207" s="105" t="s">
        <v>165</v>
      </c>
      <c r="E207" s="6" t="s">
        <v>18</v>
      </c>
      <c r="F207" s="41"/>
      <c r="I207" s="56"/>
    </row>
    <row r="208" spans="1:9" ht="12.75" hidden="1">
      <c r="A208" s="25"/>
      <c r="B208" s="4">
        <v>214</v>
      </c>
      <c r="C208" s="4">
        <v>2850</v>
      </c>
      <c r="D208" s="105" t="s">
        <v>165</v>
      </c>
      <c r="E208" s="6" t="s">
        <v>19</v>
      </c>
      <c r="F208" s="41"/>
      <c r="I208" s="56"/>
    </row>
    <row r="209" spans="1:21" ht="12.75">
      <c r="A209" s="25"/>
      <c r="B209" s="4">
        <v>214</v>
      </c>
      <c r="C209" s="4">
        <v>3110</v>
      </c>
      <c r="D209" s="105" t="s">
        <v>165</v>
      </c>
      <c r="E209" s="6" t="s">
        <v>51</v>
      </c>
      <c r="F209" s="41">
        <v>47611</v>
      </c>
      <c r="H209" s="41">
        <f>F209+G209</f>
        <v>47611</v>
      </c>
      <c r="I209" s="41">
        <v>-27611</v>
      </c>
      <c r="J209" s="41">
        <f>H209+I209</f>
        <v>20000</v>
      </c>
      <c r="K209" s="41">
        <v>20000</v>
      </c>
      <c r="N209" s="41">
        <v>20000</v>
      </c>
      <c r="O209" s="41"/>
      <c r="P209" s="41">
        <v>20000</v>
      </c>
      <c r="Q209" s="41"/>
      <c r="R209" s="41">
        <v>15000</v>
      </c>
      <c r="S209" s="41"/>
      <c r="T209" s="41">
        <v>15000</v>
      </c>
      <c r="U209" s="41"/>
    </row>
    <row r="210" spans="1:9" ht="12.75">
      <c r="A210" s="151" t="s">
        <v>119</v>
      </c>
      <c r="B210" s="152"/>
      <c r="C210" s="152"/>
      <c r="D210" s="152"/>
      <c r="E210" s="152" t="s">
        <v>29</v>
      </c>
      <c r="F210" s="41"/>
      <c r="I210" s="56"/>
    </row>
    <row r="211" spans="1:21" ht="14.25" customHeight="1">
      <c r="A211" s="25"/>
      <c r="B211" s="4">
        <v>215</v>
      </c>
      <c r="C211" s="4">
        <v>3110</v>
      </c>
      <c r="D211" s="105" t="s">
        <v>165</v>
      </c>
      <c r="E211" s="6" t="s">
        <v>51</v>
      </c>
      <c r="F211" s="41">
        <v>85520</v>
      </c>
      <c r="H211" s="41">
        <f>F211+G211</f>
        <v>85520</v>
      </c>
      <c r="I211" s="41">
        <v>480</v>
      </c>
      <c r="J211" s="41">
        <f>H211+I211</f>
        <v>86000</v>
      </c>
      <c r="K211" s="41">
        <v>71878</v>
      </c>
      <c r="N211" s="41">
        <v>64194</v>
      </c>
      <c r="O211" s="41"/>
      <c r="P211" s="41">
        <v>64194</v>
      </c>
      <c r="Q211" s="41"/>
      <c r="R211" s="41">
        <v>65000</v>
      </c>
      <c r="S211" s="41"/>
      <c r="T211" s="41">
        <v>65000</v>
      </c>
      <c r="U211" s="41"/>
    </row>
    <row r="212" spans="1:9" ht="12.75">
      <c r="A212" s="153" t="s">
        <v>186</v>
      </c>
      <c r="B212" s="154"/>
      <c r="C212" s="154"/>
      <c r="D212" s="154"/>
      <c r="E212" s="154"/>
      <c r="F212" s="41"/>
      <c r="I212" s="56"/>
    </row>
    <row r="213" spans="1:21" ht="12.75">
      <c r="A213" s="25"/>
      <c r="B213" s="4">
        <v>216</v>
      </c>
      <c r="C213" s="4">
        <v>1440</v>
      </c>
      <c r="D213" s="107" t="s">
        <v>166</v>
      </c>
      <c r="E213" s="6" t="s">
        <v>96</v>
      </c>
      <c r="F213" s="41">
        <v>49440</v>
      </c>
      <c r="H213" s="41">
        <f aca="true" t="shared" si="15" ref="H213:H226">F213+G213</f>
        <v>49440</v>
      </c>
      <c r="I213" s="56"/>
      <c r="J213" s="41">
        <f>H213+I213</f>
        <v>49440</v>
      </c>
      <c r="K213" s="41">
        <f>I213+J213</f>
        <v>49440</v>
      </c>
      <c r="N213" s="41">
        <v>50923</v>
      </c>
      <c r="O213" s="41"/>
      <c r="P213" s="41">
        <v>50923</v>
      </c>
      <c r="Q213" s="41"/>
      <c r="R213" s="41">
        <v>52451</v>
      </c>
      <c r="S213" s="41"/>
      <c r="T213" s="41">
        <v>52451</v>
      </c>
      <c r="U213" s="41"/>
    </row>
    <row r="214" spans="1:13" ht="12.75">
      <c r="A214" s="25"/>
      <c r="B214" s="4">
        <v>216</v>
      </c>
      <c r="C214" s="4">
        <v>1440</v>
      </c>
      <c r="D214" s="106" t="s">
        <v>165</v>
      </c>
      <c r="E214" s="6" t="s">
        <v>96</v>
      </c>
      <c r="F214" s="41">
        <v>40830</v>
      </c>
      <c r="H214" s="41">
        <f t="shared" si="15"/>
        <v>40830</v>
      </c>
      <c r="I214" s="41">
        <v>-16110</v>
      </c>
      <c r="J214" s="41">
        <f>H214+I214</f>
        <v>24720</v>
      </c>
      <c r="L214" s="56"/>
      <c r="M214" s="56"/>
    </row>
    <row r="215" spans="1:21" ht="12.75">
      <c r="A215" s="25"/>
      <c r="B215" s="4">
        <v>216</v>
      </c>
      <c r="C215" s="45">
        <v>2110</v>
      </c>
      <c r="D215" s="107" t="s">
        <v>166</v>
      </c>
      <c r="E215" s="6" t="s">
        <v>64</v>
      </c>
      <c r="F215" s="41">
        <v>250</v>
      </c>
      <c r="H215" s="41">
        <f t="shared" si="15"/>
        <v>250</v>
      </c>
      <c r="I215" s="56"/>
      <c r="J215" s="41">
        <f>H215+I215</f>
        <v>250</v>
      </c>
      <c r="K215" s="41">
        <f>I215+J215</f>
        <v>250</v>
      </c>
      <c r="N215" s="41">
        <v>249</v>
      </c>
      <c r="O215" s="41"/>
      <c r="P215" s="41">
        <v>249</v>
      </c>
      <c r="Q215" s="41"/>
      <c r="R215" s="41">
        <v>249</v>
      </c>
      <c r="S215" s="41"/>
      <c r="T215" s="41">
        <v>249</v>
      </c>
      <c r="U215" s="41"/>
    </row>
    <row r="216" spans="1:10" ht="12.75">
      <c r="A216" s="25"/>
      <c r="B216" s="4">
        <v>216</v>
      </c>
      <c r="C216" s="45">
        <v>2110</v>
      </c>
      <c r="D216" s="106" t="s">
        <v>165</v>
      </c>
      <c r="E216" s="6" t="s">
        <v>64</v>
      </c>
      <c r="F216" s="41">
        <v>250</v>
      </c>
      <c r="H216" s="41">
        <f t="shared" si="15"/>
        <v>250</v>
      </c>
      <c r="I216" s="56"/>
      <c r="J216" s="41">
        <f>H216+I216</f>
        <v>250</v>
      </c>
    </row>
    <row r="217" spans="1:21" ht="12.75">
      <c r="A217" s="25"/>
      <c r="B217" s="4">
        <v>216</v>
      </c>
      <c r="C217" s="29">
        <v>2130</v>
      </c>
      <c r="D217" s="107" t="s">
        <v>166</v>
      </c>
      <c r="E217" s="6" t="s">
        <v>15</v>
      </c>
      <c r="F217" s="41">
        <v>4843</v>
      </c>
      <c r="H217" s="41">
        <f t="shared" si="15"/>
        <v>4843</v>
      </c>
      <c r="I217" s="56"/>
      <c r="J217" s="41">
        <f aca="true" t="shared" si="16" ref="J217:K227">H217+I217</f>
        <v>4843</v>
      </c>
      <c r="K217" s="41">
        <f t="shared" si="16"/>
        <v>4843</v>
      </c>
      <c r="N217" s="41">
        <v>5085</v>
      </c>
      <c r="O217" s="41"/>
      <c r="P217" s="41">
        <v>5339</v>
      </c>
      <c r="Q217" s="41"/>
      <c r="R217" s="41">
        <v>5606</v>
      </c>
      <c r="S217" s="41"/>
      <c r="T217" s="41">
        <v>5886</v>
      </c>
      <c r="U217" s="41"/>
    </row>
    <row r="218" spans="1:10" ht="12.75">
      <c r="A218" s="25"/>
      <c r="B218" s="4">
        <v>216</v>
      </c>
      <c r="C218" s="4">
        <v>2130</v>
      </c>
      <c r="D218" s="106" t="s">
        <v>165</v>
      </c>
      <c r="E218" s="6" t="s">
        <v>15</v>
      </c>
      <c r="F218" s="41">
        <v>4843</v>
      </c>
      <c r="H218" s="41">
        <f t="shared" si="15"/>
        <v>4843</v>
      </c>
      <c r="I218" s="41">
        <v>-951</v>
      </c>
      <c r="J218" s="41">
        <f t="shared" si="16"/>
        <v>3892</v>
      </c>
    </row>
    <row r="219" spans="1:21" ht="12.75">
      <c r="A219" s="25"/>
      <c r="B219" s="4">
        <v>216</v>
      </c>
      <c r="C219" s="4">
        <v>2820</v>
      </c>
      <c r="D219" s="107" t="s">
        <v>166</v>
      </c>
      <c r="E219" s="6" t="s">
        <v>16</v>
      </c>
      <c r="F219" s="41">
        <f>SUM(F213*0.06)</f>
        <v>2966.4</v>
      </c>
      <c r="H219" s="41">
        <f t="shared" si="15"/>
        <v>2966.4</v>
      </c>
      <c r="I219" s="56"/>
      <c r="J219" s="41">
        <f t="shared" si="16"/>
        <v>2966.4</v>
      </c>
      <c r="K219" s="41">
        <f>K213*0.03</f>
        <v>1483.2</v>
      </c>
      <c r="N219" s="41">
        <f>N213*0.03</f>
        <v>1527.69</v>
      </c>
      <c r="O219" s="41"/>
      <c r="P219" s="41">
        <f>P213*0.03</f>
        <v>1527.69</v>
      </c>
      <c r="Q219" s="41"/>
      <c r="R219" s="41">
        <f>R213*0.03</f>
        <v>1573.53</v>
      </c>
      <c r="S219" s="41"/>
      <c r="T219" s="41">
        <f>T213*0.03</f>
        <v>1573.53</v>
      </c>
      <c r="U219" s="41"/>
    </row>
    <row r="220" spans="1:10" ht="12.75">
      <c r="A220" s="25"/>
      <c r="B220" s="4">
        <v>216</v>
      </c>
      <c r="C220" s="4">
        <v>2820</v>
      </c>
      <c r="D220" s="106" t="s">
        <v>165</v>
      </c>
      <c r="E220" s="6" t="s">
        <v>16</v>
      </c>
      <c r="F220" s="41">
        <f>SUM(F214*0.06)</f>
        <v>2449.7999999999997</v>
      </c>
      <c r="H220" s="41">
        <f t="shared" si="15"/>
        <v>2449.7999999999997</v>
      </c>
      <c r="I220" s="41">
        <f>I214*0.06</f>
        <v>-966.5999999999999</v>
      </c>
      <c r="J220" s="41">
        <f t="shared" si="16"/>
        <v>1483.1999999999998</v>
      </c>
    </row>
    <row r="221" spans="1:21" ht="12.75">
      <c r="A221" s="25"/>
      <c r="B221" s="4">
        <v>216</v>
      </c>
      <c r="C221" s="4">
        <v>2830</v>
      </c>
      <c r="D221" s="107" t="s">
        <v>166</v>
      </c>
      <c r="E221" s="6" t="s">
        <v>17</v>
      </c>
      <c r="F221" s="41">
        <f>SUM(F213*0.0765)</f>
        <v>3782.16</v>
      </c>
      <c r="H221" s="41">
        <f t="shared" si="15"/>
        <v>3782.16</v>
      </c>
      <c r="I221" s="41"/>
      <c r="J221" s="41">
        <f t="shared" si="16"/>
        <v>3782.16</v>
      </c>
      <c r="K221" s="41">
        <f>K213*0.0765</f>
        <v>3782.16</v>
      </c>
      <c r="N221" s="41">
        <f>N213*0.0765</f>
        <v>3895.6095</v>
      </c>
      <c r="O221" s="41"/>
      <c r="P221" s="41">
        <f>P213*0.0765</f>
        <v>3895.6095</v>
      </c>
      <c r="Q221" s="41"/>
      <c r="R221" s="41">
        <f>R213*0.0765</f>
        <v>4012.5015</v>
      </c>
      <c r="S221" s="41"/>
      <c r="T221" s="41">
        <f>T213*0.0765</f>
        <v>4012.5015</v>
      </c>
      <c r="U221" s="41"/>
    </row>
    <row r="222" spans="1:10" ht="12.75">
      <c r="A222" s="25"/>
      <c r="B222" s="4">
        <v>216</v>
      </c>
      <c r="C222" s="4">
        <v>2830</v>
      </c>
      <c r="D222" s="106" t="s">
        <v>165</v>
      </c>
      <c r="E222" s="6" t="s">
        <v>17</v>
      </c>
      <c r="F222" s="41">
        <f>SUM(F214*0.0765)</f>
        <v>3123.495</v>
      </c>
      <c r="H222" s="41">
        <f t="shared" si="15"/>
        <v>3123.495</v>
      </c>
      <c r="I222" s="41">
        <f>I214*0.0765</f>
        <v>-1232.415</v>
      </c>
      <c r="J222" s="41">
        <f t="shared" si="16"/>
        <v>1891.08</v>
      </c>
    </row>
    <row r="223" spans="1:21" ht="12.75">
      <c r="A223" s="25"/>
      <c r="B223" s="4">
        <v>216</v>
      </c>
      <c r="C223" s="4">
        <v>2840</v>
      </c>
      <c r="D223" s="107" t="s">
        <v>166</v>
      </c>
      <c r="E223" s="6" t="s">
        <v>18</v>
      </c>
      <c r="F223" s="41">
        <f>SUM(F213*0.0055)</f>
        <v>271.91999999999996</v>
      </c>
      <c r="H223" s="41">
        <f t="shared" si="15"/>
        <v>271.91999999999996</v>
      </c>
      <c r="I223" s="41"/>
      <c r="J223" s="41">
        <f t="shared" si="16"/>
        <v>271.91999999999996</v>
      </c>
      <c r="K223" s="41">
        <f>K213*0.0055</f>
        <v>271.91999999999996</v>
      </c>
      <c r="N223" s="41">
        <f>N213*0.0055</f>
        <v>280.0765</v>
      </c>
      <c r="O223" s="41"/>
      <c r="P223" s="41">
        <f>P213*0.0055</f>
        <v>280.0765</v>
      </c>
      <c r="Q223" s="41"/>
      <c r="R223" s="41">
        <f>R213*0.0055</f>
        <v>288.4805</v>
      </c>
      <c r="S223" s="41"/>
      <c r="T223" s="41">
        <f>T213*0.0034</f>
        <v>178.33339999999998</v>
      </c>
      <c r="U223" s="41"/>
    </row>
    <row r="224" spans="1:10" ht="12.75">
      <c r="A224" s="25"/>
      <c r="B224" s="4">
        <v>216</v>
      </c>
      <c r="C224" s="4">
        <v>2840</v>
      </c>
      <c r="D224" s="106" t="s">
        <v>165</v>
      </c>
      <c r="E224" s="6" t="s">
        <v>18</v>
      </c>
      <c r="F224" s="41">
        <f>SUM(F214*0.0055)</f>
        <v>224.565</v>
      </c>
      <c r="H224" s="41">
        <f t="shared" si="15"/>
        <v>224.565</v>
      </c>
      <c r="I224" s="41">
        <f>I214*0.0055</f>
        <v>-88.60499999999999</v>
      </c>
      <c r="J224" s="41">
        <f t="shared" si="16"/>
        <v>135.96</v>
      </c>
    </row>
    <row r="225" spans="1:21" ht="12.75">
      <c r="A225" s="25"/>
      <c r="B225" s="4">
        <v>216</v>
      </c>
      <c r="C225" s="4">
        <v>2850</v>
      </c>
      <c r="D225" s="107" t="s">
        <v>166</v>
      </c>
      <c r="E225" s="6" t="s">
        <v>19</v>
      </c>
      <c r="F225" s="41">
        <v>995</v>
      </c>
      <c r="H225" s="41">
        <f t="shared" si="15"/>
        <v>995</v>
      </c>
      <c r="I225" s="41">
        <v>-500</v>
      </c>
      <c r="J225" s="41">
        <f t="shared" si="16"/>
        <v>495</v>
      </c>
      <c r="K225" s="41">
        <f>9500*0.0573</f>
        <v>544.35</v>
      </c>
      <c r="N225" s="41">
        <f>9500*0.0573</f>
        <v>544.35</v>
      </c>
      <c r="O225" s="41"/>
      <c r="P225" s="41">
        <f>9500*0.0573</f>
        <v>544.35</v>
      </c>
      <c r="Q225" s="41"/>
      <c r="R225" s="41">
        <f>9500*0.0815</f>
        <v>774.25</v>
      </c>
      <c r="S225" s="41"/>
      <c r="T225" s="41">
        <f>9500*0.0815</f>
        <v>774.25</v>
      </c>
      <c r="U225" s="41"/>
    </row>
    <row r="226" spans="1:10" ht="12.75">
      <c r="A226" s="25"/>
      <c r="B226" s="4">
        <v>216</v>
      </c>
      <c r="C226" s="4">
        <v>2850</v>
      </c>
      <c r="D226" s="106" t="s">
        <v>165</v>
      </c>
      <c r="E226" s="6" t="s">
        <v>19</v>
      </c>
      <c r="F226" s="41">
        <v>995</v>
      </c>
      <c r="H226" s="41">
        <f t="shared" si="15"/>
        <v>995</v>
      </c>
      <c r="I226" s="41">
        <v>-497</v>
      </c>
      <c r="J226" s="41">
        <f t="shared" si="16"/>
        <v>498</v>
      </c>
    </row>
    <row r="227" spans="1:21" ht="12.75">
      <c r="A227" s="25"/>
      <c r="B227" s="4">
        <v>216</v>
      </c>
      <c r="C227" s="4">
        <v>3110</v>
      </c>
      <c r="D227" s="107" t="s">
        <v>165</v>
      </c>
      <c r="E227" s="6" t="s">
        <v>51</v>
      </c>
      <c r="F227" s="41"/>
      <c r="H227" s="41"/>
      <c r="I227" s="41">
        <v>46150</v>
      </c>
      <c r="J227" s="41">
        <f t="shared" si="16"/>
        <v>46150</v>
      </c>
      <c r="K227" s="41">
        <v>29519</v>
      </c>
      <c r="N227" s="41">
        <v>29519</v>
      </c>
      <c r="O227" s="41"/>
      <c r="P227" s="41">
        <v>29519</v>
      </c>
      <c r="Q227" s="41"/>
      <c r="R227" s="41">
        <v>45240</v>
      </c>
      <c r="S227" s="41"/>
      <c r="T227" s="41">
        <v>45240</v>
      </c>
      <c r="U227" s="41"/>
    </row>
    <row r="228" spans="1:9" ht="12.75">
      <c r="A228" s="25"/>
      <c r="B228" s="4">
        <v>216</v>
      </c>
      <c r="C228" s="4">
        <v>7410</v>
      </c>
      <c r="D228" s="107" t="s">
        <v>166</v>
      </c>
      <c r="E228" s="6" t="s">
        <v>26</v>
      </c>
      <c r="F228" s="41"/>
      <c r="I228" s="56"/>
    </row>
    <row r="229" spans="1:21" ht="13.5" thickBot="1">
      <c r="A229" s="145" t="s">
        <v>150</v>
      </c>
      <c r="B229" s="146"/>
      <c r="C229" s="146"/>
      <c r="D229" s="146"/>
      <c r="E229" s="147"/>
      <c r="F229" s="98">
        <f>SUM(F165:F228)-1</f>
        <v>590998.9160000001</v>
      </c>
      <c r="G229" s="98">
        <f>SUM(G165:G228)-1</f>
        <v>-51880.884000000005</v>
      </c>
      <c r="H229" s="98">
        <f>SUM(H165:H228)-2</f>
        <v>539118.0320000001</v>
      </c>
      <c r="I229" s="98">
        <f>SUM(I165:I228)-1</f>
        <v>14658.27</v>
      </c>
      <c r="J229" s="98">
        <f>SUM(J165:J228)-1</f>
        <v>553778.3020000001</v>
      </c>
      <c r="K229" s="98">
        <f>SUM(K165:K228)-1</f>
        <v>431476.98199999996</v>
      </c>
      <c r="N229" s="98">
        <f>SUM(N165:N228)-1</f>
        <v>417941.646</v>
      </c>
      <c r="O229" s="134"/>
      <c r="P229" s="98">
        <f>SUM(P165:P228)-1</f>
        <v>419245.646</v>
      </c>
      <c r="Q229" s="134"/>
      <c r="R229" s="98">
        <f>SUM(R165:R228)-1</f>
        <v>496628.94</v>
      </c>
      <c r="S229" s="134"/>
      <c r="T229" s="98">
        <f>SUM(T165:T228)-1</f>
        <v>498626.2955</v>
      </c>
      <c r="U229" s="134"/>
    </row>
    <row r="230" spans="1:6" ht="12.75">
      <c r="A230" s="26"/>
      <c r="B230" s="27"/>
      <c r="C230" s="27"/>
      <c r="D230" s="27"/>
      <c r="E230" s="53"/>
      <c r="F230" s="41"/>
    </row>
    <row r="231" spans="1:6" ht="12.75">
      <c r="A231" s="63"/>
      <c r="B231" s="57" t="s">
        <v>30</v>
      </c>
      <c r="C231" s="64"/>
      <c r="D231" s="64"/>
      <c r="E231" s="97"/>
      <c r="F231" s="41"/>
    </row>
    <row r="232" spans="1:6" ht="12.75">
      <c r="A232" s="151" t="s">
        <v>120</v>
      </c>
      <c r="B232" s="155"/>
      <c r="C232" s="155"/>
      <c r="D232" s="155"/>
      <c r="E232" s="156"/>
      <c r="F232" s="41"/>
    </row>
    <row r="233" spans="1:21" ht="12.75">
      <c r="A233" s="28"/>
      <c r="B233" s="4">
        <v>221</v>
      </c>
      <c r="C233" s="4">
        <v>1250</v>
      </c>
      <c r="D233" s="106" t="s">
        <v>163</v>
      </c>
      <c r="E233" s="6" t="s">
        <v>197</v>
      </c>
      <c r="F233" s="41">
        <v>386529</v>
      </c>
      <c r="H233" s="41">
        <f>F233+G233</f>
        <v>386529</v>
      </c>
      <c r="I233" s="41">
        <v>-251529</v>
      </c>
      <c r="J233" s="41">
        <f aca="true" t="shared" si="17" ref="J233:J255">SUM(H233:I233)</f>
        <v>135000</v>
      </c>
      <c r="R233" s="41">
        <v>286650</v>
      </c>
      <c r="S233" s="41"/>
      <c r="T233" s="41">
        <v>286650</v>
      </c>
      <c r="U233" s="41"/>
    </row>
    <row r="234" spans="1:21" ht="12.75" hidden="1">
      <c r="A234" s="28"/>
      <c r="B234" s="4">
        <v>221</v>
      </c>
      <c r="C234" s="93">
        <v>1250</v>
      </c>
      <c r="D234" s="106" t="s">
        <v>164</v>
      </c>
      <c r="E234" s="6" t="s">
        <v>233</v>
      </c>
      <c r="F234" s="41"/>
      <c r="H234" s="41"/>
      <c r="I234" s="41"/>
      <c r="J234" s="41"/>
      <c r="K234" s="41">
        <v>18000</v>
      </c>
      <c r="N234" s="41">
        <v>18540</v>
      </c>
      <c r="O234" s="41"/>
      <c r="P234" s="41">
        <v>18540</v>
      </c>
      <c r="Q234" s="41"/>
      <c r="R234" s="41"/>
      <c r="S234" s="41"/>
      <c r="T234" s="41"/>
      <c r="U234" s="41"/>
    </row>
    <row r="235" spans="1:21" ht="12.75" hidden="1">
      <c r="A235" s="28"/>
      <c r="B235" s="4">
        <v>221</v>
      </c>
      <c r="C235" s="93">
        <v>1250</v>
      </c>
      <c r="D235" s="106" t="s">
        <v>169</v>
      </c>
      <c r="E235" s="6" t="s">
        <v>234</v>
      </c>
      <c r="F235" s="41"/>
      <c r="H235" s="41"/>
      <c r="I235" s="41"/>
      <c r="J235" s="41"/>
      <c r="K235" s="41">
        <v>36000</v>
      </c>
      <c r="N235" s="41">
        <v>37080</v>
      </c>
      <c r="O235" s="41"/>
      <c r="P235" s="41">
        <v>37080</v>
      </c>
      <c r="Q235" s="41"/>
      <c r="R235" s="41"/>
      <c r="S235" s="41"/>
      <c r="T235" s="41"/>
      <c r="U235" s="41"/>
    </row>
    <row r="236" spans="1:21" ht="12.75">
      <c r="A236" s="28"/>
      <c r="B236" s="4">
        <v>221</v>
      </c>
      <c r="C236" s="45">
        <v>2110</v>
      </c>
      <c r="D236" s="106" t="s">
        <v>163</v>
      </c>
      <c r="E236" s="6" t="s">
        <v>64</v>
      </c>
      <c r="F236" s="41">
        <v>1154</v>
      </c>
      <c r="H236" s="41">
        <f>F236+G236</f>
        <v>1154</v>
      </c>
      <c r="I236" s="41">
        <v>-700</v>
      </c>
      <c r="J236" s="41">
        <f t="shared" si="17"/>
        <v>454</v>
      </c>
      <c r="K236" s="56"/>
      <c r="N236" s="56"/>
      <c r="O236" s="56"/>
      <c r="P236" s="56"/>
      <c r="Q236" s="56"/>
      <c r="R236" s="41"/>
      <c r="S236" s="41"/>
      <c r="T236" s="41"/>
      <c r="U236" s="41"/>
    </row>
    <row r="237" spans="1:21" ht="12.75" hidden="1">
      <c r="A237" s="28"/>
      <c r="B237" s="4">
        <v>221</v>
      </c>
      <c r="C237" s="45">
        <v>2110</v>
      </c>
      <c r="D237" s="106" t="s">
        <v>169</v>
      </c>
      <c r="E237" s="6" t="s">
        <v>64</v>
      </c>
      <c r="F237" s="41"/>
      <c r="H237" s="41"/>
      <c r="I237" s="41">
        <v>154</v>
      </c>
      <c r="J237" s="41">
        <f t="shared" si="17"/>
        <v>154</v>
      </c>
      <c r="R237" s="41"/>
      <c r="S237" s="41"/>
      <c r="T237" s="41"/>
      <c r="U237" s="41"/>
    </row>
    <row r="238" spans="1:21" ht="12.75">
      <c r="A238" s="28"/>
      <c r="B238" s="4">
        <v>221</v>
      </c>
      <c r="C238" s="4">
        <v>2130</v>
      </c>
      <c r="D238" s="106" t="s">
        <v>164</v>
      </c>
      <c r="E238" s="6" t="s">
        <v>15</v>
      </c>
      <c r="F238" s="41">
        <v>31088</v>
      </c>
      <c r="H238" s="41">
        <f aca="true" t="shared" si="18" ref="H238:H254">F238+G238</f>
        <v>31088</v>
      </c>
      <c r="I238" s="41">
        <v>-24992</v>
      </c>
      <c r="J238" s="41">
        <f t="shared" si="17"/>
        <v>6096</v>
      </c>
      <c r="R238" s="41"/>
      <c r="S238" s="41"/>
      <c r="T238" s="41"/>
      <c r="U238" s="41"/>
    </row>
    <row r="239" spans="1:21" ht="12.75">
      <c r="A239" s="28"/>
      <c r="B239" s="4">
        <v>221</v>
      </c>
      <c r="C239" s="4">
        <v>2130</v>
      </c>
      <c r="D239" s="106" t="s">
        <v>163</v>
      </c>
      <c r="E239" s="6" t="s">
        <v>15</v>
      </c>
      <c r="F239" s="41"/>
      <c r="H239" s="41"/>
      <c r="I239" s="41"/>
      <c r="J239" s="41"/>
      <c r="K239" s="41">
        <v>3000</v>
      </c>
      <c r="N239" s="41">
        <v>3150</v>
      </c>
      <c r="O239" s="41"/>
      <c r="P239" s="41">
        <v>3308</v>
      </c>
      <c r="Q239" s="41"/>
      <c r="R239" s="41">
        <f>32427*1.05</f>
        <v>34048.35</v>
      </c>
      <c r="S239" s="41"/>
      <c r="T239" s="41">
        <f>R239*1.05</f>
        <v>35750.7675</v>
      </c>
      <c r="U239" s="41"/>
    </row>
    <row r="240" spans="1:21" ht="12.75">
      <c r="A240" s="28"/>
      <c r="B240" s="4">
        <v>221</v>
      </c>
      <c r="C240" s="4">
        <v>2820</v>
      </c>
      <c r="D240" s="106" t="s">
        <v>164</v>
      </c>
      <c r="E240" s="6" t="s">
        <v>16</v>
      </c>
      <c r="F240" s="41">
        <f>SUM(F233*0.06)</f>
        <v>23191.739999999998</v>
      </c>
      <c r="H240" s="41">
        <f t="shared" si="18"/>
        <v>23191.739999999998</v>
      </c>
      <c r="I240" s="41">
        <f>I233*0.06</f>
        <v>-15091.74</v>
      </c>
      <c r="J240" s="41">
        <f t="shared" si="17"/>
        <v>8099.999999999998</v>
      </c>
      <c r="R240" s="41"/>
      <c r="S240" s="41"/>
      <c r="T240" s="41"/>
      <c r="U240" s="41"/>
    </row>
    <row r="241" spans="1:21" ht="12.75">
      <c r="A241" s="28"/>
      <c r="B241" s="4">
        <v>221</v>
      </c>
      <c r="C241" s="4">
        <v>2820</v>
      </c>
      <c r="D241" s="106" t="s">
        <v>163</v>
      </c>
      <c r="E241" s="6" t="s">
        <v>16</v>
      </c>
      <c r="F241" s="41"/>
      <c r="H241" s="41"/>
      <c r="I241" s="41"/>
      <c r="J241" s="41"/>
      <c r="K241" s="41">
        <f>K234*0.03</f>
        <v>540</v>
      </c>
      <c r="N241" s="41">
        <f>N234*0.03</f>
        <v>556.1999999999999</v>
      </c>
      <c r="O241" s="41"/>
      <c r="P241" s="41">
        <f>P234*0.03</f>
        <v>556.1999999999999</v>
      </c>
      <c r="Q241" s="41"/>
      <c r="R241" s="41">
        <f>R233*0.02</f>
        <v>5733</v>
      </c>
      <c r="S241" s="41"/>
      <c r="T241" s="41">
        <f>T233*0.02</f>
        <v>5733</v>
      </c>
      <c r="U241" s="41"/>
    </row>
    <row r="242" spans="1:21" ht="12.75" hidden="1">
      <c r="A242" s="28"/>
      <c r="B242" s="4">
        <v>221</v>
      </c>
      <c r="C242" s="4">
        <v>2820</v>
      </c>
      <c r="D242" s="106" t="s">
        <v>169</v>
      </c>
      <c r="E242" s="6" t="s">
        <v>16</v>
      </c>
      <c r="F242" s="41"/>
      <c r="H242" s="41"/>
      <c r="I242" s="41"/>
      <c r="J242" s="41"/>
      <c r="K242" s="41">
        <f>K235*0.03</f>
        <v>1080</v>
      </c>
      <c r="N242" s="41">
        <f>N235*0.03</f>
        <v>1112.3999999999999</v>
      </c>
      <c r="O242" s="41"/>
      <c r="P242" s="41">
        <f>P235*0.03</f>
        <v>1112.3999999999999</v>
      </c>
      <c r="Q242" s="41"/>
      <c r="R242" s="41">
        <f>R235*0.03</f>
        <v>0</v>
      </c>
      <c r="S242" s="41"/>
      <c r="T242" s="41">
        <f>T235*0.03</f>
        <v>0</v>
      </c>
      <c r="U242" s="41"/>
    </row>
    <row r="243" spans="1:21" ht="12.75">
      <c r="A243" s="28"/>
      <c r="B243" s="4">
        <v>221</v>
      </c>
      <c r="C243" s="4">
        <v>2830</v>
      </c>
      <c r="D243" s="106" t="s">
        <v>164</v>
      </c>
      <c r="E243" s="6" t="s">
        <v>17</v>
      </c>
      <c r="F243" s="41">
        <f>SUM(F233*0.0765)</f>
        <v>29569.4685</v>
      </c>
      <c r="H243" s="41">
        <f t="shared" si="18"/>
        <v>29569.4685</v>
      </c>
      <c r="I243" s="41">
        <f>I233*0.0765</f>
        <v>-19241.9685</v>
      </c>
      <c r="J243" s="41">
        <f t="shared" si="17"/>
        <v>10327.5</v>
      </c>
      <c r="R243" s="41"/>
      <c r="S243" s="41"/>
      <c r="T243" s="41"/>
      <c r="U243" s="41"/>
    </row>
    <row r="244" spans="1:21" ht="12.75">
      <c r="A244" s="28"/>
      <c r="B244" s="4">
        <v>221</v>
      </c>
      <c r="C244" s="4">
        <v>2830</v>
      </c>
      <c r="D244" s="106" t="s">
        <v>163</v>
      </c>
      <c r="E244" s="6" t="s">
        <v>17</v>
      </c>
      <c r="F244" s="41"/>
      <c r="H244" s="41"/>
      <c r="I244" s="41"/>
      <c r="J244" s="41"/>
      <c r="K244" s="41">
        <f>K234*0.0765</f>
        <v>1377</v>
      </c>
      <c r="N244" s="41">
        <f>N234*0.0765</f>
        <v>1418.31</v>
      </c>
      <c r="O244" s="41"/>
      <c r="P244" s="41">
        <f>P234*0.0765</f>
        <v>1418.31</v>
      </c>
      <c r="Q244" s="41"/>
      <c r="R244" s="41">
        <f>R233*0.0765</f>
        <v>21928.725</v>
      </c>
      <c r="S244" s="41"/>
      <c r="T244" s="41">
        <f>T233*0.0765</f>
        <v>21928.725</v>
      </c>
      <c r="U244" s="41"/>
    </row>
    <row r="245" spans="1:21" ht="12.75" hidden="1">
      <c r="A245" s="28"/>
      <c r="B245" s="4">
        <v>221</v>
      </c>
      <c r="C245" s="4">
        <v>2830</v>
      </c>
      <c r="D245" s="106" t="s">
        <v>169</v>
      </c>
      <c r="E245" s="6" t="s">
        <v>17</v>
      </c>
      <c r="F245" s="41"/>
      <c r="H245" s="41"/>
      <c r="I245" s="41"/>
      <c r="J245" s="41"/>
      <c r="K245" s="41">
        <f>K235*0.0765</f>
        <v>2754</v>
      </c>
      <c r="N245" s="41">
        <f>N235*0.0765</f>
        <v>2836.62</v>
      </c>
      <c r="O245" s="41"/>
      <c r="P245" s="41">
        <f>P235*0.0765</f>
        <v>2836.62</v>
      </c>
      <c r="Q245" s="41"/>
      <c r="R245" s="41">
        <f>R235*0.0765</f>
        <v>0</v>
      </c>
      <c r="S245" s="41"/>
      <c r="T245" s="41">
        <f>T235*0.0765</f>
        <v>0</v>
      </c>
      <c r="U245" s="41"/>
    </row>
    <row r="246" spans="1:21" ht="12.75">
      <c r="A246" s="28"/>
      <c r="B246" s="4">
        <v>221</v>
      </c>
      <c r="C246" s="4">
        <v>2840</v>
      </c>
      <c r="D246" s="106" t="s">
        <v>164</v>
      </c>
      <c r="E246" s="6" t="s">
        <v>18</v>
      </c>
      <c r="F246" s="41">
        <f>SUM(F233*0.0055)</f>
        <v>2125.9094999999998</v>
      </c>
      <c r="H246" s="41">
        <f t="shared" si="18"/>
        <v>2125.9094999999998</v>
      </c>
      <c r="I246" s="41">
        <f>I233*0.0055</f>
        <v>-1383.4095</v>
      </c>
      <c r="J246" s="41">
        <f t="shared" si="17"/>
        <v>742.4999999999998</v>
      </c>
      <c r="R246" s="41"/>
      <c r="S246" s="41"/>
      <c r="T246" s="41"/>
      <c r="U246" s="41"/>
    </row>
    <row r="247" spans="1:21" ht="12.75">
      <c r="A247" s="28"/>
      <c r="B247" s="4">
        <v>221</v>
      </c>
      <c r="C247" s="4">
        <v>2840</v>
      </c>
      <c r="D247" s="106" t="s">
        <v>163</v>
      </c>
      <c r="E247" s="6" t="s">
        <v>18</v>
      </c>
      <c r="F247" s="41"/>
      <c r="H247" s="41"/>
      <c r="I247" s="41"/>
      <c r="J247" s="41"/>
      <c r="K247" s="41">
        <f>K234*0.0055</f>
        <v>99</v>
      </c>
      <c r="N247" s="41">
        <f>N234*0.0055</f>
        <v>101.97</v>
      </c>
      <c r="O247" s="41"/>
      <c r="P247" s="41">
        <f>P234*0.0055</f>
        <v>101.97</v>
      </c>
      <c r="Q247" s="41"/>
      <c r="R247" s="41">
        <f>R233*0.0055</f>
        <v>1576.5749999999998</v>
      </c>
      <c r="S247" s="41"/>
      <c r="T247" s="41">
        <f>T233*0.0034</f>
        <v>974.6099999999999</v>
      </c>
      <c r="U247" s="41"/>
    </row>
    <row r="248" spans="1:21" ht="12.75" hidden="1">
      <c r="A248" s="28"/>
      <c r="B248" s="4">
        <v>221</v>
      </c>
      <c r="C248" s="4">
        <v>2840</v>
      </c>
      <c r="D248" s="106" t="s">
        <v>169</v>
      </c>
      <c r="E248" s="6" t="s">
        <v>18</v>
      </c>
      <c r="F248" s="41"/>
      <c r="H248" s="41"/>
      <c r="I248" s="41"/>
      <c r="J248" s="41"/>
      <c r="K248" s="41">
        <f>K235*0.0055</f>
        <v>198</v>
      </c>
      <c r="N248" s="41">
        <f>N235*0.0055</f>
        <v>203.94</v>
      </c>
      <c r="O248" s="41"/>
      <c r="P248" s="41">
        <f>P235*0.0055</f>
        <v>203.94</v>
      </c>
      <c r="Q248" s="41"/>
      <c r="R248" s="41">
        <f>R235*0.0055</f>
        <v>0</v>
      </c>
      <c r="S248" s="41"/>
      <c r="T248" s="41">
        <f>T235*0.0055</f>
        <v>0</v>
      </c>
      <c r="U248" s="41"/>
    </row>
    <row r="249" spans="1:21" ht="12.75">
      <c r="A249" s="28"/>
      <c r="B249" s="4">
        <v>221</v>
      </c>
      <c r="C249" s="4">
        <v>2850</v>
      </c>
      <c r="D249" s="106" t="s">
        <v>164</v>
      </c>
      <c r="E249" s="6" t="s">
        <v>19</v>
      </c>
      <c r="F249" s="41">
        <v>7416</v>
      </c>
      <c r="H249" s="41">
        <f t="shared" si="18"/>
        <v>7416</v>
      </c>
      <c r="I249" s="41">
        <v>-3436</v>
      </c>
      <c r="J249" s="41">
        <f t="shared" si="17"/>
        <v>3980</v>
      </c>
      <c r="R249" s="41"/>
      <c r="S249" s="41"/>
      <c r="T249" s="41"/>
      <c r="U249" s="41"/>
    </row>
    <row r="250" spans="1:21" ht="12.75" hidden="1">
      <c r="A250" s="51"/>
      <c r="B250" s="4">
        <v>221</v>
      </c>
      <c r="C250" s="4">
        <v>3110</v>
      </c>
      <c r="D250" s="106" t="s">
        <v>169</v>
      </c>
      <c r="E250" s="6" t="s">
        <v>173</v>
      </c>
      <c r="F250" s="41"/>
      <c r="H250" s="41">
        <f t="shared" si="18"/>
        <v>0</v>
      </c>
      <c r="I250" s="56"/>
      <c r="J250" s="41">
        <f t="shared" si="17"/>
        <v>0</v>
      </c>
      <c r="R250" s="41"/>
      <c r="S250" s="41"/>
      <c r="T250" s="41"/>
      <c r="U250" s="41"/>
    </row>
    <row r="251" spans="1:21" ht="12" customHeight="1">
      <c r="A251" s="51"/>
      <c r="B251" s="4">
        <v>221</v>
      </c>
      <c r="C251" s="4">
        <v>2850</v>
      </c>
      <c r="D251" s="106" t="s">
        <v>163</v>
      </c>
      <c r="E251" s="6" t="s">
        <v>19</v>
      </c>
      <c r="F251" s="41"/>
      <c r="H251" s="41"/>
      <c r="I251" s="56"/>
      <c r="J251" s="41"/>
      <c r="K251" s="41">
        <f>9500*3*0.25*0.0573</f>
        <v>408.2625</v>
      </c>
      <c r="N251" s="41">
        <f>9500*3*0.25*0.0573</f>
        <v>408.2625</v>
      </c>
      <c r="O251" s="41"/>
      <c r="P251" s="41">
        <f>9500*3*0.25*0.0573</f>
        <v>408.2625</v>
      </c>
      <c r="Q251" s="41"/>
      <c r="R251" s="41">
        <f>9500*6*0.0815</f>
        <v>4645.5</v>
      </c>
      <c r="S251" s="41"/>
      <c r="T251" s="41">
        <f>9500*6*0.0815</f>
        <v>4645.5</v>
      </c>
      <c r="U251" s="41"/>
    </row>
    <row r="252" spans="1:21" ht="14.25" customHeight="1" hidden="1">
      <c r="A252" s="51"/>
      <c r="B252" s="4">
        <v>221</v>
      </c>
      <c r="C252" s="4">
        <v>2850</v>
      </c>
      <c r="D252" s="106" t="s">
        <v>169</v>
      </c>
      <c r="E252" s="6" t="s">
        <v>19</v>
      </c>
      <c r="F252" s="41"/>
      <c r="H252" s="41"/>
      <c r="I252" s="56"/>
      <c r="J252" s="41"/>
      <c r="K252" s="41">
        <f>9500*0.6*0.0573</f>
        <v>326.60999999999996</v>
      </c>
      <c r="N252" s="41">
        <f>9500*0.6*0.0573</f>
        <v>326.60999999999996</v>
      </c>
      <c r="O252" s="41"/>
      <c r="P252" s="41">
        <f>9500*0.6*0.0573</f>
        <v>326.60999999999996</v>
      </c>
      <c r="Q252" s="41"/>
      <c r="R252" s="41"/>
      <c r="S252" s="41"/>
      <c r="T252" s="41"/>
      <c r="U252" s="41"/>
    </row>
    <row r="253" spans="1:21" ht="12.75" hidden="1">
      <c r="A253" s="51"/>
      <c r="B253" s="4">
        <v>221</v>
      </c>
      <c r="C253" s="4">
        <v>3110</v>
      </c>
      <c r="D253" s="106" t="s">
        <v>169</v>
      </c>
      <c r="E253" s="6" t="s">
        <v>216</v>
      </c>
      <c r="F253" s="41">
        <v>0</v>
      </c>
      <c r="H253" s="41">
        <f t="shared" si="18"/>
        <v>0</v>
      </c>
      <c r="I253" s="56"/>
      <c r="J253" s="41">
        <f t="shared" si="17"/>
        <v>0</v>
      </c>
      <c r="R253" s="41"/>
      <c r="S253" s="41"/>
      <c r="T253" s="41"/>
      <c r="U253" s="41"/>
    </row>
    <row r="254" spans="1:21" ht="12.75">
      <c r="A254" s="51"/>
      <c r="B254" s="4">
        <v>221</v>
      </c>
      <c r="C254" s="4">
        <v>3150</v>
      </c>
      <c r="D254" s="106" t="s">
        <v>169</v>
      </c>
      <c r="E254" s="6" t="s">
        <v>215</v>
      </c>
      <c r="F254" s="41">
        <v>66802</v>
      </c>
      <c r="H254" s="41">
        <f t="shared" si="18"/>
        <v>66802</v>
      </c>
      <c r="I254" s="56"/>
      <c r="J254" s="41">
        <f t="shared" si="17"/>
        <v>66802</v>
      </c>
      <c r="K254" s="41">
        <v>29248</v>
      </c>
      <c r="N254" s="41">
        <v>24583</v>
      </c>
      <c r="O254" s="41"/>
      <c r="P254" s="41">
        <v>24583</v>
      </c>
      <c r="Q254" s="41"/>
      <c r="R254" s="41">
        <v>23346</v>
      </c>
      <c r="S254" s="41"/>
      <c r="T254" s="41">
        <v>30000</v>
      </c>
      <c r="U254" s="41"/>
    </row>
    <row r="255" spans="1:21" ht="12.75" hidden="1">
      <c r="A255" s="51"/>
      <c r="B255" s="4">
        <v>221</v>
      </c>
      <c r="C255" s="4">
        <v>3220</v>
      </c>
      <c r="D255" s="106" t="s">
        <v>164</v>
      </c>
      <c r="E255" s="6" t="s">
        <v>20</v>
      </c>
      <c r="F255" s="41"/>
      <c r="H255" s="41"/>
      <c r="I255" s="41">
        <v>155</v>
      </c>
      <c r="J255" s="41">
        <f t="shared" si="17"/>
        <v>155</v>
      </c>
      <c r="R255" s="41"/>
      <c r="S255" s="41"/>
      <c r="T255" s="41"/>
      <c r="U255" s="41"/>
    </row>
    <row r="256" spans="1:21" ht="12.75" hidden="1">
      <c r="A256" s="51"/>
      <c r="B256" s="4">
        <v>221</v>
      </c>
      <c r="C256" s="4">
        <v>3220</v>
      </c>
      <c r="D256" s="106" t="s">
        <v>210</v>
      </c>
      <c r="E256" s="6" t="s">
        <v>20</v>
      </c>
      <c r="F256" s="41"/>
      <c r="H256" s="41"/>
      <c r="I256" s="41">
        <v>31525</v>
      </c>
      <c r="J256" s="41">
        <f>H256+I256</f>
        <v>31525</v>
      </c>
      <c r="R256" s="41"/>
      <c r="S256" s="41"/>
      <c r="T256" s="41"/>
      <c r="U256" s="41"/>
    </row>
    <row r="257" spans="2:21" ht="12.75" hidden="1">
      <c r="B257" s="4">
        <v>221</v>
      </c>
      <c r="C257" s="4">
        <v>3220</v>
      </c>
      <c r="D257" s="106" t="s">
        <v>165</v>
      </c>
      <c r="E257" s="6" t="s">
        <v>79</v>
      </c>
      <c r="F257" s="41">
        <v>3000</v>
      </c>
      <c r="H257" s="41">
        <f>F257+G257</f>
        <v>3000</v>
      </c>
      <c r="I257" s="41">
        <v>-1000</v>
      </c>
      <c r="J257" s="41">
        <f>H257+I257</f>
        <v>2000</v>
      </c>
      <c r="R257" s="41"/>
      <c r="S257" s="41"/>
      <c r="T257" s="41"/>
      <c r="U257" s="41"/>
    </row>
    <row r="258" spans="2:21" ht="12.75" hidden="1">
      <c r="B258" s="4">
        <v>221</v>
      </c>
      <c r="C258" s="4">
        <v>3220</v>
      </c>
      <c r="D258" s="106" t="s">
        <v>163</v>
      </c>
      <c r="E258" s="6" t="s">
        <v>175</v>
      </c>
      <c r="F258" s="41">
        <v>92720</v>
      </c>
      <c r="H258" s="41">
        <f>F258+G258</f>
        <v>92720</v>
      </c>
      <c r="I258" s="41">
        <v>-73720</v>
      </c>
      <c r="J258" s="41">
        <f>SUM(H258:I258)</f>
        <v>19000</v>
      </c>
      <c r="R258" s="41"/>
      <c r="S258" s="41"/>
      <c r="T258" s="41"/>
      <c r="U258" s="41"/>
    </row>
    <row r="259" spans="2:21" ht="12.75" hidden="1">
      <c r="B259" s="4">
        <v>221</v>
      </c>
      <c r="C259" s="4">
        <v>3220</v>
      </c>
      <c r="D259" s="106" t="s">
        <v>169</v>
      </c>
      <c r="E259" s="6" t="s">
        <v>217</v>
      </c>
      <c r="F259" s="41"/>
      <c r="H259" s="41"/>
      <c r="I259" s="41"/>
      <c r="J259" s="41"/>
      <c r="K259" s="41"/>
      <c r="N259" s="41"/>
      <c r="O259" s="41"/>
      <c r="P259" s="41"/>
      <c r="Q259" s="41"/>
      <c r="R259" s="41"/>
      <c r="S259" s="41"/>
      <c r="T259" s="41"/>
      <c r="U259" s="41"/>
    </row>
    <row r="260" spans="2:21" ht="12.75" hidden="1">
      <c r="B260" s="4">
        <v>221</v>
      </c>
      <c r="C260" s="4">
        <v>5990</v>
      </c>
      <c r="D260" s="106" t="s">
        <v>169</v>
      </c>
      <c r="E260" s="6" t="s">
        <v>196</v>
      </c>
      <c r="F260" s="41">
        <v>20889</v>
      </c>
      <c r="H260" s="41">
        <f>F260+G260</f>
        <v>20889</v>
      </c>
      <c r="I260" s="41"/>
      <c r="J260" s="41">
        <f>SUM(H260:I260)</f>
        <v>20889</v>
      </c>
      <c r="K260" s="41"/>
      <c r="N260" s="41"/>
      <c r="O260" s="41"/>
      <c r="P260" s="41"/>
      <c r="Q260" s="41"/>
      <c r="R260" s="41"/>
      <c r="S260" s="41"/>
      <c r="T260" s="41"/>
      <c r="U260" s="41"/>
    </row>
    <row r="261" spans="2:21" ht="12.75" hidden="1">
      <c r="B261" s="4">
        <v>221</v>
      </c>
      <c r="C261" s="4">
        <v>5990</v>
      </c>
      <c r="D261" s="106" t="s">
        <v>210</v>
      </c>
      <c r="E261" s="6" t="s">
        <v>138</v>
      </c>
      <c r="F261" s="41"/>
      <c r="H261" s="41"/>
      <c r="I261" s="41">
        <v>6936</v>
      </c>
      <c r="J261" s="41">
        <f>H261+I261</f>
        <v>6936</v>
      </c>
      <c r="R261" s="41"/>
      <c r="S261" s="41"/>
      <c r="T261" s="41"/>
      <c r="U261" s="41"/>
    </row>
    <row r="262" spans="1:21" ht="12" customHeight="1">
      <c r="A262" s="28"/>
      <c r="B262" s="4">
        <v>221</v>
      </c>
      <c r="C262" s="4">
        <v>7410</v>
      </c>
      <c r="D262" s="106" t="s">
        <v>164</v>
      </c>
      <c r="E262" s="6" t="s">
        <v>26</v>
      </c>
      <c r="F262" s="41"/>
      <c r="J262" s="37"/>
      <c r="R262" s="41"/>
      <c r="S262" s="41"/>
      <c r="T262" s="41"/>
      <c r="U262" s="41"/>
    </row>
    <row r="263" spans="1:21" ht="0.75" customHeight="1" hidden="1">
      <c r="A263" s="151" t="s">
        <v>121</v>
      </c>
      <c r="B263" s="155"/>
      <c r="C263" s="155"/>
      <c r="D263" s="155"/>
      <c r="E263" s="156" t="s">
        <v>54</v>
      </c>
      <c r="F263" s="41"/>
      <c r="J263" s="37"/>
      <c r="R263" s="41"/>
      <c r="S263" s="41"/>
      <c r="T263" s="41"/>
      <c r="U263" s="41"/>
    </row>
    <row r="264" spans="1:21" ht="12.75" hidden="1">
      <c r="A264" s="28"/>
      <c r="B264" s="4">
        <v>222</v>
      </c>
      <c r="C264" s="4">
        <v>1230</v>
      </c>
      <c r="D264" s="105" t="s">
        <v>164</v>
      </c>
      <c r="E264" s="6" t="s">
        <v>99</v>
      </c>
      <c r="F264" s="41"/>
      <c r="J264" s="37"/>
      <c r="R264" s="41"/>
      <c r="S264" s="41"/>
      <c r="T264" s="41"/>
      <c r="U264" s="41"/>
    </row>
    <row r="265" spans="1:21" ht="12.75" hidden="1">
      <c r="A265" s="28"/>
      <c r="B265" s="4">
        <v>222</v>
      </c>
      <c r="C265" s="4">
        <v>2130</v>
      </c>
      <c r="D265" s="105" t="s">
        <v>164</v>
      </c>
      <c r="E265" s="6" t="s">
        <v>15</v>
      </c>
      <c r="F265" s="41"/>
      <c r="J265" s="37"/>
      <c r="R265" s="41"/>
      <c r="S265" s="41"/>
      <c r="T265" s="41"/>
      <c r="U265" s="41"/>
    </row>
    <row r="266" spans="1:21" ht="12.75" hidden="1">
      <c r="A266" s="28"/>
      <c r="B266" s="4">
        <v>222</v>
      </c>
      <c r="C266" s="4">
        <v>2820</v>
      </c>
      <c r="D266" s="105" t="s">
        <v>164</v>
      </c>
      <c r="E266" s="6" t="s">
        <v>16</v>
      </c>
      <c r="F266" s="41"/>
      <c r="J266" s="37"/>
      <c r="R266" s="41"/>
      <c r="S266" s="41"/>
      <c r="T266" s="41"/>
      <c r="U266" s="41"/>
    </row>
    <row r="267" spans="1:21" ht="12.75" hidden="1">
      <c r="A267" s="28"/>
      <c r="B267" s="4">
        <v>222</v>
      </c>
      <c r="C267" s="4">
        <v>2830</v>
      </c>
      <c r="D267" s="105" t="s">
        <v>164</v>
      </c>
      <c r="E267" s="6" t="s">
        <v>17</v>
      </c>
      <c r="F267" s="41"/>
      <c r="J267" s="37"/>
      <c r="R267" s="41"/>
      <c r="S267" s="41"/>
      <c r="T267" s="41"/>
      <c r="U267" s="41"/>
    </row>
    <row r="268" spans="1:21" ht="12.75" hidden="1">
      <c r="A268" s="28"/>
      <c r="B268" s="4">
        <v>222</v>
      </c>
      <c r="C268" s="4">
        <v>2840</v>
      </c>
      <c r="D268" s="105" t="s">
        <v>164</v>
      </c>
      <c r="E268" s="6" t="s">
        <v>18</v>
      </c>
      <c r="F268" s="41"/>
      <c r="J268" s="37"/>
      <c r="R268" s="41"/>
      <c r="S268" s="41"/>
      <c r="T268" s="41"/>
      <c r="U268" s="41"/>
    </row>
    <row r="269" spans="1:21" ht="12.75" customHeight="1" hidden="1">
      <c r="A269" s="28"/>
      <c r="B269" s="4">
        <v>222</v>
      </c>
      <c r="C269" s="4">
        <v>2850</v>
      </c>
      <c r="D269" s="105" t="s">
        <v>164</v>
      </c>
      <c r="E269" s="6" t="s">
        <v>19</v>
      </c>
      <c r="F269" s="41"/>
      <c r="J269" s="37"/>
      <c r="R269" s="41"/>
      <c r="S269" s="41"/>
      <c r="T269" s="41"/>
      <c r="U269" s="41"/>
    </row>
    <row r="270" spans="1:21" ht="12" customHeight="1" hidden="1">
      <c r="A270" s="28"/>
      <c r="B270" s="4">
        <v>222</v>
      </c>
      <c r="C270" s="4">
        <v>5310</v>
      </c>
      <c r="D270" s="105" t="s">
        <v>164</v>
      </c>
      <c r="E270" s="6" t="s">
        <v>24</v>
      </c>
      <c r="F270" s="41"/>
      <c r="J270" s="37"/>
      <c r="R270" s="41"/>
      <c r="S270" s="41"/>
      <c r="T270" s="41"/>
      <c r="U270" s="41"/>
    </row>
    <row r="271" spans="1:21" ht="12.75" hidden="1">
      <c r="A271" s="28"/>
      <c r="B271" s="4">
        <v>222</v>
      </c>
      <c r="C271" s="4">
        <v>7410</v>
      </c>
      <c r="D271" s="105" t="s">
        <v>164</v>
      </c>
      <c r="E271" s="6" t="s">
        <v>26</v>
      </c>
      <c r="F271" s="41"/>
      <c r="J271" s="37"/>
      <c r="R271" s="41"/>
      <c r="S271" s="41"/>
      <c r="T271" s="41"/>
      <c r="U271" s="41"/>
    </row>
    <row r="272" spans="1:21" ht="12.75" hidden="1">
      <c r="A272" s="28"/>
      <c r="B272" s="40"/>
      <c r="C272" s="40"/>
      <c r="D272" s="40"/>
      <c r="E272" s="39"/>
      <c r="F272" s="41"/>
      <c r="J272" s="37"/>
      <c r="R272" s="41"/>
      <c r="S272" s="41"/>
      <c r="T272" s="41"/>
      <c r="U272" s="41"/>
    </row>
    <row r="273" spans="1:21" ht="12.75">
      <c r="A273" s="151" t="s">
        <v>174</v>
      </c>
      <c r="B273" s="155"/>
      <c r="C273" s="155"/>
      <c r="D273" s="155"/>
      <c r="E273" s="156" t="s">
        <v>80</v>
      </c>
      <c r="F273" s="41"/>
      <c r="J273" s="37"/>
      <c r="R273" s="41"/>
      <c r="S273" s="41"/>
      <c r="T273" s="41"/>
      <c r="U273" s="41"/>
    </row>
    <row r="274" spans="1:21" ht="12.75">
      <c r="A274" s="28"/>
      <c r="B274" s="4">
        <v>225</v>
      </c>
      <c r="C274" s="4">
        <v>1590</v>
      </c>
      <c r="D274" s="105" t="s">
        <v>164</v>
      </c>
      <c r="E274" s="6" t="s">
        <v>98</v>
      </c>
      <c r="F274" s="41">
        <v>46350</v>
      </c>
      <c r="H274" s="41">
        <f aca="true" t="shared" si="19" ref="H274:H282">F274+G274</f>
        <v>46350</v>
      </c>
      <c r="I274" s="41">
        <v>-46350</v>
      </c>
      <c r="J274" s="41">
        <f>H274+I274</f>
        <v>0</v>
      </c>
      <c r="R274" s="41">
        <v>48500</v>
      </c>
      <c r="S274" s="41"/>
      <c r="T274" s="41">
        <v>24250</v>
      </c>
      <c r="U274" s="41"/>
    </row>
    <row r="275" spans="1:21" ht="12.75">
      <c r="A275" s="28"/>
      <c r="B275" s="4">
        <v>225</v>
      </c>
      <c r="C275" s="4">
        <v>1590</v>
      </c>
      <c r="D275" s="105" t="s">
        <v>169</v>
      </c>
      <c r="E275" s="6" t="s">
        <v>98</v>
      </c>
      <c r="F275" s="41"/>
      <c r="H275" s="41"/>
      <c r="I275" s="41"/>
      <c r="J275" s="41"/>
      <c r="R275" s="41"/>
      <c r="S275" s="41"/>
      <c r="T275" s="41">
        <v>24250</v>
      </c>
      <c r="U275" s="41"/>
    </row>
    <row r="276" spans="1:21" ht="12.75">
      <c r="A276" s="28"/>
      <c r="B276" s="4">
        <v>225</v>
      </c>
      <c r="C276" s="45">
        <v>2110</v>
      </c>
      <c r="D276" s="105" t="s">
        <v>164</v>
      </c>
      <c r="E276" s="6" t="s">
        <v>64</v>
      </c>
      <c r="F276" s="41">
        <v>250</v>
      </c>
      <c r="H276" s="41">
        <f t="shared" si="19"/>
        <v>250</v>
      </c>
      <c r="I276" s="41">
        <v>-250</v>
      </c>
      <c r="J276" s="41">
        <f aca="true" t="shared" si="20" ref="J276:J282">H276+I276</f>
        <v>0</v>
      </c>
      <c r="R276" s="41"/>
      <c r="S276" s="41"/>
      <c r="T276" s="41"/>
      <c r="U276" s="41"/>
    </row>
    <row r="277" spans="1:21" ht="12.75">
      <c r="A277" s="28"/>
      <c r="B277" s="4">
        <v>225</v>
      </c>
      <c r="C277" s="4">
        <v>2130</v>
      </c>
      <c r="D277" s="105" t="s">
        <v>164</v>
      </c>
      <c r="E277" s="6" t="s">
        <v>15</v>
      </c>
      <c r="F277" s="41">
        <v>4377</v>
      </c>
      <c r="H277" s="41">
        <f t="shared" si="19"/>
        <v>4377</v>
      </c>
      <c r="I277" s="41">
        <v>-4377</v>
      </c>
      <c r="J277" s="41">
        <f t="shared" si="20"/>
        <v>0</v>
      </c>
      <c r="R277" s="41">
        <f>3200*1.05</f>
        <v>3360</v>
      </c>
      <c r="S277" s="41"/>
      <c r="T277" s="41">
        <f>R277*1.03</f>
        <v>3460.8</v>
      </c>
      <c r="U277" s="41"/>
    </row>
    <row r="278" spans="1:21" ht="12.75">
      <c r="A278" s="28"/>
      <c r="B278" s="4">
        <v>225</v>
      </c>
      <c r="C278" s="4">
        <v>2130</v>
      </c>
      <c r="D278" s="105" t="s">
        <v>169</v>
      </c>
      <c r="E278" s="6" t="s">
        <v>15</v>
      </c>
      <c r="F278" s="41"/>
      <c r="H278" s="41"/>
      <c r="I278" s="41"/>
      <c r="J278" s="41"/>
      <c r="R278" s="41"/>
      <c r="S278" s="41"/>
      <c r="T278" s="41"/>
      <c r="U278" s="41"/>
    </row>
    <row r="279" spans="1:21" ht="12.75">
      <c r="A279" s="28"/>
      <c r="B279" s="4">
        <v>225</v>
      </c>
      <c r="C279" s="4">
        <v>2820</v>
      </c>
      <c r="D279" s="105" t="s">
        <v>164</v>
      </c>
      <c r="E279" s="6" t="s">
        <v>16</v>
      </c>
      <c r="F279" s="41">
        <f>SUM(F274*0.06)</f>
        <v>2781</v>
      </c>
      <c r="H279" s="41">
        <f t="shared" si="19"/>
        <v>2781</v>
      </c>
      <c r="I279" s="41">
        <v>-2781</v>
      </c>
      <c r="J279" s="41">
        <f t="shared" si="20"/>
        <v>0</v>
      </c>
      <c r="R279" s="41"/>
      <c r="S279" s="41"/>
      <c r="T279" s="41"/>
      <c r="U279" s="41"/>
    </row>
    <row r="280" spans="1:21" ht="12.75">
      <c r="A280" s="28"/>
      <c r="B280" s="4">
        <v>225</v>
      </c>
      <c r="C280" s="4">
        <v>2830</v>
      </c>
      <c r="D280" s="105" t="s">
        <v>164</v>
      </c>
      <c r="E280" s="6" t="s">
        <v>17</v>
      </c>
      <c r="F280" s="41">
        <f>SUM(F274*0.0765)</f>
        <v>3545.775</v>
      </c>
      <c r="H280" s="41">
        <f t="shared" si="19"/>
        <v>3545.775</v>
      </c>
      <c r="I280" s="41">
        <v>-3546</v>
      </c>
      <c r="J280" s="41">
        <f t="shared" si="20"/>
        <v>-0.22499999999990905</v>
      </c>
      <c r="R280" s="41">
        <f>R274*0.0765</f>
        <v>3710.25</v>
      </c>
      <c r="S280" s="41"/>
      <c r="T280" s="41">
        <f>T274*0.0765</f>
        <v>1855.125</v>
      </c>
      <c r="U280" s="41"/>
    </row>
    <row r="281" spans="1:21" ht="12.75">
      <c r="A281" s="28"/>
      <c r="B281" s="4">
        <v>225</v>
      </c>
      <c r="C281" s="4">
        <v>2840</v>
      </c>
      <c r="D281" s="105" t="s">
        <v>164</v>
      </c>
      <c r="E281" s="6" t="s">
        <v>18</v>
      </c>
      <c r="F281" s="41">
        <f>SUM(F274*0.0055)</f>
        <v>254.92499999999998</v>
      </c>
      <c r="H281" s="41">
        <f t="shared" si="19"/>
        <v>254.92499999999998</v>
      </c>
      <c r="I281" s="41">
        <v>-255</v>
      </c>
      <c r="J281" s="41">
        <f t="shared" si="20"/>
        <v>-0.07500000000001705</v>
      </c>
      <c r="R281" s="41">
        <f>R274*0.0055</f>
        <v>266.75</v>
      </c>
      <c r="S281" s="41"/>
      <c r="T281" s="41">
        <f>T274*0.0055</f>
        <v>133.375</v>
      </c>
      <c r="U281" s="41"/>
    </row>
    <row r="282" spans="1:21" ht="12" customHeight="1">
      <c r="A282" s="28"/>
      <c r="B282" s="4">
        <v>225</v>
      </c>
      <c r="C282" s="4">
        <v>2850</v>
      </c>
      <c r="D282" s="105" t="s">
        <v>164</v>
      </c>
      <c r="E282" s="6" t="s">
        <v>19</v>
      </c>
      <c r="F282" s="41">
        <v>995</v>
      </c>
      <c r="H282" s="41">
        <f t="shared" si="19"/>
        <v>995</v>
      </c>
      <c r="I282" s="41">
        <v>-995</v>
      </c>
      <c r="J282" s="41">
        <f t="shared" si="20"/>
        <v>0</v>
      </c>
      <c r="R282" s="41">
        <f>9500*0.0815</f>
        <v>774.25</v>
      </c>
      <c r="S282" s="41"/>
      <c r="T282" s="41">
        <f>9500*0.0815</f>
        <v>774.25</v>
      </c>
      <c r="U282" s="41"/>
    </row>
    <row r="283" spans="1:21" ht="12.75">
      <c r="A283" s="28"/>
      <c r="B283" s="4">
        <v>225</v>
      </c>
      <c r="C283" s="4">
        <v>3220</v>
      </c>
      <c r="D283" s="105" t="s">
        <v>164</v>
      </c>
      <c r="E283" s="6" t="s">
        <v>20</v>
      </c>
      <c r="F283" s="41"/>
      <c r="J283" s="37"/>
      <c r="R283" s="41"/>
      <c r="S283" s="41"/>
      <c r="T283" s="41"/>
      <c r="U283" s="41"/>
    </row>
    <row r="284" spans="1:21" ht="12" customHeight="1">
      <c r="A284" s="28"/>
      <c r="B284" s="4">
        <v>225</v>
      </c>
      <c r="C284" s="4">
        <v>3490</v>
      </c>
      <c r="D284" s="105" t="s">
        <v>164</v>
      </c>
      <c r="E284" s="6" t="s">
        <v>158</v>
      </c>
      <c r="F284" s="41"/>
      <c r="J284" s="37"/>
      <c r="R284" s="41"/>
      <c r="S284" s="41"/>
      <c r="T284" s="41"/>
      <c r="U284" s="41"/>
    </row>
    <row r="285" spans="1:21" ht="12.75">
      <c r="A285" s="52"/>
      <c r="B285" s="52">
        <v>225</v>
      </c>
      <c r="C285" s="52">
        <v>4910</v>
      </c>
      <c r="D285" s="105" t="s">
        <v>164</v>
      </c>
      <c r="E285" s="37" t="s">
        <v>159</v>
      </c>
      <c r="F285" s="41"/>
      <c r="J285" s="37"/>
      <c r="R285" s="41"/>
      <c r="S285" s="41"/>
      <c r="T285" s="41"/>
      <c r="U285" s="41"/>
    </row>
    <row r="286" spans="1:21" ht="12.75">
      <c r="A286" s="52"/>
      <c r="B286" s="4">
        <v>225</v>
      </c>
      <c r="C286" s="4">
        <v>5990</v>
      </c>
      <c r="D286" s="105" t="s">
        <v>164</v>
      </c>
      <c r="E286" s="6" t="s">
        <v>157</v>
      </c>
      <c r="F286" s="41">
        <v>10000</v>
      </c>
      <c r="H286" s="41">
        <f>F286+G286</f>
        <v>10000</v>
      </c>
      <c r="J286" s="41">
        <f>SUM(H286:I286)</f>
        <v>10000</v>
      </c>
      <c r="K286" s="41">
        <v>8000</v>
      </c>
      <c r="N286" s="41">
        <f>SUM(K286:L286)</f>
        <v>8000</v>
      </c>
      <c r="O286" s="41"/>
      <c r="P286" s="41">
        <f>SUM(M286:N286)</f>
        <v>8000</v>
      </c>
      <c r="Q286" s="41"/>
      <c r="R286" s="41">
        <v>20000</v>
      </c>
      <c r="S286" s="41"/>
      <c r="T286" s="41">
        <v>25000</v>
      </c>
      <c r="U286" s="41"/>
    </row>
    <row r="287" spans="1:21" ht="12.75">
      <c r="A287" s="28"/>
      <c r="B287" s="4">
        <v>225</v>
      </c>
      <c r="C287" s="4">
        <v>6410</v>
      </c>
      <c r="D287" s="105" t="s">
        <v>164</v>
      </c>
      <c r="E287" s="6" t="s">
        <v>25</v>
      </c>
      <c r="F287" s="41">
        <v>2000</v>
      </c>
      <c r="H287" s="41">
        <f>F287+G287</f>
        <v>2000</v>
      </c>
      <c r="J287" s="41">
        <f>SUM(H287:I287)</f>
        <v>2000</v>
      </c>
      <c r="K287" s="41">
        <f>SUM(I287:J287)</f>
        <v>2000</v>
      </c>
      <c r="N287" s="41">
        <f>SUM(K287:L287)</f>
        <v>2000</v>
      </c>
      <c r="O287" s="41"/>
      <c r="P287" s="41">
        <f>SUM(M287:N287)</f>
        <v>2000</v>
      </c>
      <c r="Q287" s="41"/>
      <c r="R287" s="41">
        <f>P287+Q287</f>
        <v>2000</v>
      </c>
      <c r="S287" s="41"/>
      <c r="T287" s="41">
        <v>1000</v>
      </c>
      <c r="U287" s="41"/>
    </row>
    <row r="288" spans="1:10" ht="12.75">
      <c r="A288" s="151" t="s">
        <v>100</v>
      </c>
      <c r="B288" s="155"/>
      <c r="C288" s="155"/>
      <c r="D288" s="155"/>
      <c r="E288" s="156" t="s">
        <v>80</v>
      </c>
      <c r="F288" s="41"/>
      <c r="H288" s="41"/>
      <c r="J288" s="37"/>
    </row>
    <row r="289" spans="1:21" ht="12.75">
      <c r="A289" s="108"/>
      <c r="B289" s="29">
        <v>226</v>
      </c>
      <c r="C289" s="104">
        <v>1170</v>
      </c>
      <c r="D289" s="105" t="s">
        <v>163</v>
      </c>
      <c r="E289" s="103" t="s">
        <v>192</v>
      </c>
      <c r="F289" s="41">
        <v>75000</v>
      </c>
      <c r="H289" s="41">
        <f aca="true" t="shared" si="21" ref="H289:H295">F289+G289</f>
        <v>75000</v>
      </c>
      <c r="I289" s="41">
        <v>-5000</v>
      </c>
      <c r="J289" s="41">
        <f>SUM(H289:I289)</f>
        <v>70000</v>
      </c>
      <c r="K289" s="41">
        <v>60000</v>
      </c>
      <c r="N289" s="41">
        <v>30900</v>
      </c>
      <c r="O289" s="41"/>
      <c r="P289" s="41">
        <v>30900</v>
      </c>
      <c r="Q289" s="41"/>
      <c r="R289" s="41"/>
      <c r="S289" s="41"/>
      <c r="T289" s="41">
        <v>53750</v>
      </c>
      <c r="U289" s="41"/>
    </row>
    <row r="290" spans="1:21" ht="12.75">
      <c r="A290" s="108"/>
      <c r="B290" s="29">
        <v>226</v>
      </c>
      <c r="C290" s="45">
        <v>2110</v>
      </c>
      <c r="D290" s="105" t="s">
        <v>163</v>
      </c>
      <c r="E290" s="6" t="s">
        <v>64</v>
      </c>
      <c r="F290" s="41">
        <v>250</v>
      </c>
      <c r="H290" s="41">
        <f t="shared" si="21"/>
        <v>250</v>
      </c>
      <c r="I290" s="37"/>
      <c r="J290" s="41">
        <f>SUM(H290:I290)</f>
        <v>250</v>
      </c>
      <c r="K290" s="41">
        <f>SUM(I290:J290)</f>
        <v>250</v>
      </c>
      <c r="N290" s="41">
        <v>125</v>
      </c>
      <c r="O290" s="41"/>
      <c r="P290" s="41">
        <v>125</v>
      </c>
      <c r="Q290" s="41"/>
      <c r="R290" s="41"/>
      <c r="S290" s="41"/>
      <c r="T290" s="41"/>
      <c r="U290" s="41"/>
    </row>
    <row r="291" spans="1:21" ht="12.75">
      <c r="A291" s="108"/>
      <c r="B291" s="29">
        <v>226</v>
      </c>
      <c r="C291" s="29">
        <v>2130</v>
      </c>
      <c r="D291" s="105" t="s">
        <v>163</v>
      </c>
      <c r="E291" s="6" t="s">
        <v>15</v>
      </c>
      <c r="F291" s="41">
        <v>4540</v>
      </c>
      <c r="H291" s="41">
        <f t="shared" si="21"/>
        <v>4540</v>
      </c>
      <c r="I291" s="37">
        <v>175</v>
      </c>
      <c r="J291" s="41">
        <f>SUM(H291:I291)</f>
        <v>4715</v>
      </c>
      <c r="K291" s="41">
        <f>SUM(I291:J291)</f>
        <v>4890</v>
      </c>
      <c r="N291" s="41">
        <v>2567</v>
      </c>
      <c r="O291" s="41"/>
      <c r="P291" s="41">
        <v>2695</v>
      </c>
      <c r="Q291" s="41"/>
      <c r="R291" s="41"/>
      <c r="S291" s="41"/>
      <c r="T291" s="41">
        <v>4102</v>
      </c>
      <c r="U291" s="41"/>
    </row>
    <row r="292" spans="1:21" ht="12.75">
      <c r="A292" s="108"/>
      <c r="B292" s="29">
        <v>226</v>
      </c>
      <c r="C292" s="29">
        <v>2820</v>
      </c>
      <c r="D292" s="105" t="s">
        <v>163</v>
      </c>
      <c r="E292" s="6" t="s">
        <v>16</v>
      </c>
      <c r="F292" s="41">
        <f>SUM(F289*0.06)</f>
        <v>4500</v>
      </c>
      <c r="H292" s="41">
        <f t="shared" si="21"/>
        <v>4500</v>
      </c>
      <c r="I292" s="41">
        <f>J292-H292</f>
        <v>-300</v>
      </c>
      <c r="J292" s="41">
        <f>J289*0.06</f>
        <v>4200</v>
      </c>
      <c r="K292" s="41">
        <f>K289*0.03</f>
        <v>1800</v>
      </c>
      <c r="N292" s="41">
        <f>N289*0.03</f>
        <v>927</v>
      </c>
      <c r="O292" s="41"/>
      <c r="P292" s="41">
        <f>P289*0.03</f>
        <v>927</v>
      </c>
      <c r="Q292" s="41"/>
      <c r="R292" s="41"/>
      <c r="S292" s="41"/>
      <c r="T292" s="41">
        <f>T289*0.03</f>
        <v>1612.5</v>
      </c>
      <c r="U292" s="41"/>
    </row>
    <row r="293" spans="1:21" ht="12.75">
      <c r="A293" s="108"/>
      <c r="B293" s="29">
        <v>226</v>
      </c>
      <c r="C293" s="29">
        <v>2830</v>
      </c>
      <c r="D293" s="105" t="s">
        <v>163</v>
      </c>
      <c r="E293" s="6" t="s">
        <v>17</v>
      </c>
      <c r="F293" s="41">
        <f>SUM(F289*0.0765)</f>
        <v>5737.5</v>
      </c>
      <c r="H293" s="41">
        <f t="shared" si="21"/>
        <v>5737.5</v>
      </c>
      <c r="I293" s="41">
        <f>J293-H293</f>
        <v>-382.5</v>
      </c>
      <c r="J293" s="41">
        <f>J289*0.0765</f>
        <v>5355</v>
      </c>
      <c r="K293" s="41">
        <f>K289*0.0765</f>
        <v>4590</v>
      </c>
      <c r="N293" s="41">
        <f>N289*0.0765</f>
        <v>2363.85</v>
      </c>
      <c r="O293" s="41"/>
      <c r="P293" s="41">
        <f>P289*0.0765</f>
        <v>2363.85</v>
      </c>
      <c r="Q293" s="41"/>
      <c r="R293" s="41"/>
      <c r="S293" s="41"/>
      <c r="T293" s="41">
        <f>T289*0.0765</f>
        <v>4111.875</v>
      </c>
      <c r="U293" s="41"/>
    </row>
    <row r="294" spans="1:21" ht="12.75">
      <c r="A294" s="108"/>
      <c r="B294" s="29">
        <v>226</v>
      </c>
      <c r="C294" s="29">
        <v>2840</v>
      </c>
      <c r="D294" s="105" t="s">
        <v>163</v>
      </c>
      <c r="E294" s="6" t="s">
        <v>18</v>
      </c>
      <c r="F294" s="41">
        <f>SUM(F289*0.0055)</f>
        <v>412.5</v>
      </c>
      <c r="H294" s="41">
        <f t="shared" si="21"/>
        <v>412.5</v>
      </c>
      <c r="I294" s="41">
        <f>J294-H294</f>
        <v>-27.5</v>
      </c>
      <c r="J294" s="41">
        <f>J289*0.0055</f>
        <v>385</v>
      </c>
      <c r="K294" s="41">
        <f>K289*0.0055</f>
        <v>330</v>
      </c>
      <c r="N294" s="41">
        <f>N289*0.0055</f>
        <v>169.95</v>
      </c>
      <c r="O294" s="41"/>
      <c r="P294" s="41">
        <f>P289*0.0055</f>
        <v>169.95</v>
      </c>
      <c r="Q294" s="41"/>
      <c r="R294" s="41"/>
      <c r="S294" s="41"/>
      <c r="T294" s="41">
        <f>T289*0.0034</f>
        <v>182.75</v>
      </c>
      <c r="U294" s="41"/>
    </row>
    <row r="295" spans="1:21" ht="12.75">
      <c r="A295" s="108"/>
      <c r="B295" s="29">
        <v>226</v>
      </c>
      <c r="C295" s="29">
        <v>2850</v>
      </c>
      <c r="D295" s="105" t="s">
        <v>163</v>
      </c>
      <c r="E295" s="6" t="s">
        <v>19</v>
      </c>
      <c r="F295" s="41">
        <v>995</v>
      </c>
      <c r="H295" s="41">
        <f t="shared" si="21"/>
        <v>995</v>
      </c>
      <c r="I295" s="37">
        <v>-500</v>
      </c>
      <c r="J295" s="41">
        <f>SUM(H295:I295)</f>
        <v>495</v>
      </c>
      <c r="K295" s="41">
        <f>9500*0.0573</f>
        <v>544.35</v>
      </c>
      <c r="N295" s="41">
        <f>9500*0.0573*0.5</f>
        <v>272.175</v>
      </c>
      <c r="O295" s="41"/>
      <c r="P295" s="41">
        <f>9500*0.0573*0.5</f>
        <v>272.175</v>
      </c>
      <c r="Q295" s="41"/>
      <c r="R295" s="41"/>
      <c r="S295" s="41"/>
      <c r="T295" s="41">
        <v>778</v>
      </c>
      <c r="U295" s="41"/>
    </row>
    <row r="296" spans="1:10" ht="12.75">
      <c r="A296" s="151" t="s">
        <v>100</v>
      </c>
      <c r="B296" s="155"/>
      <c r="C296" s="155"/>
      <c r="D296" s="155"/>
      <c r="E296" s="156" t="s">
        <v>80</v>
      </c>
      <c r="F296" s="41"/>
      <c r="I296" s="37"/>
      <c r="J296" s="37"/>
    </row>
    <row r="297" spans="1:10" ht="12.75">
      <c r="A297" s="52"/>
      <c r="B297" s="4">
        <v>227</v>
      </c>
      <c r="C297" s="4">
        <v>3130</v>
      </c>
      <c r="D297" s="105" t="s">
        <v>166</v>
      </c>
      <c r="E297" s="6" t="s">
        <v>168</v>
      </c>
      <c r="F297" s="41"/>
      <c r="J297" s="37"/>
    </row>
    <row r="298" spans="1:21" ht="12.75">
      <c r="A298" s="52"/>
      <c r="B298" s="4">
        <v>227</v>
      </c>
      <c r="C298" s="4">
        <v>5110</v>
      </c>
      <c r="D298" s="105" t="s">
        <v>164</v>
      </c>
      <c r="E298" s="6" t="s">
        <v>160</v>
      </c>
      <c r="F298" s="41"/>
      <c r="J298" s="37"/>
      <c r="K298" s="41">
        <v>3000</v>
      </c>
      <c r="N298" s="41">
        <v>3000</v>
      </c>
      <c r="O298" s="41"/>
      <c r="P298" s="41">
        <v>8000</v>
      </c>
      <c r="Q298" s="41"/>
      <c r="R298" s="41">
        <v>2000</v>
      </c>
      <c r="S298" s="41"/>
      <c r="T298" s="41">
        <v>2000</v>
      </c>
      <c r="U298" s="41"/>
    </row>
    <row r="299" spans="1:10" ht="12.75">
      <c r="A299" s="52"/>
      <c r="B299" s="4">
        <v>227</v>
      </c>
      <c r="C299" s="4">
        <v>5990</v>
      </c>
      <c r="D299" s="105" t="s">
        <v>164</v>
      </c>
      <c r="E299" s="16" t="s">
        <v>157</v>
      </c>
      <c r="F299" s="41"/>
      <c r="J299" s="37"/>
    </row>
    <row r="300" spans="1:10" ht="12.75">
      <c r="A300" s="28"/>
      <c r="B300" s="104">
        <v>227</v>
      </c>
      <c r="C300" s="104">
        <v>6410</v>
      </c>
      <c r="D300" s="105" t="s">
        <v>164</v>
      </c>
      <c r="E300" s="103" t="s">
        <v>161</v>
      </c>
      <c r="F300" s="41"/>
      <c r="G300" s="37"/>
      <c r="J300" s="37"/>
    </row>
    <row r="301" spans="1:21" ht="13.5" thickBot="1">
      <c r="A301" s="145" t="s">
        <v>149</v>
      </c>
      <c r="B301" s="146"/>
      <c r="C301" s="146"/>
      <c r="D301" s="146"/>
      <c r="E301" s="147"/>
      <c r="F301" s="98">
        <f>SUM(F233:F300)+5</f>
        <v>826478.8180000001</v>
      </c>
      <c r="G301" s="98">
        <f>SUM(G233:G300)</f>
        <v>0</v>
      </c>
      <c r="H301" s="98">
        <f>SUM(H233:H300)+5</f>
        <v>826478.8180000001</v>
      </c>
      <c r="I301" s="98">
        <f>SUM(I233:I300)</f>
        <v>-416913.118</v>
      </c>
      <c r="J301" s="98">
        <f>SUM(J233:J300)</f>
        <v>409560.7</v>
      </c>
      <c r="K301" s="98">
        <f>SUM(K233:K300)</f>
        <v>178435.2225</v>
      </c>
      <c r="N301" s="98">
        <f>SUM(N233:N300)</f>
        <v>140642.2875</v>
      </c>
      <c r="O301" s="134"/>
      <c r="P301" s="98">
        <f>SUM(P233:P300)</f>
        <v>145928.2875</v>
      </c>
      <c r="Q301" s="134"/>
      <c r="R301" s="98">
        <f>SUM(R233:R300)</f>
        <v>458539.39999999997</v>
      </c>
      <c r="S301" s="134"/>
      <c r="T301" s="98">
        <f>SUM(T233:T300)</f>
        <v>532943.2775</v>
      </c>
      <c r="U301" s="134"/>
    </row>
    <row r="302" spans="1:10" ht="12.75">
      <c r="A302" s="151" t="s">
        <v>122</v>
      </c>
      <c r="B302" s="155"/>
      <c r="C302" s="155"/>
      <c r="D302" s="155"/>
      <c r="E302" s="156"/>
      <c r="F302" s="41"/>
      <c r="G302" s="37"/>
      <c r="J302" s="37"/>
    </row>
    <row r="303" spans="1:10" ht="12.75">
      <c r="A303" s="4"/>
      <c r="B303" s="4">
        <v>231</v>
      </c>
      <c r="C303" s="4">
        <v>1170</v>
      </c>
      <c r="D303" s="105" t="s">
        <v>164</v>
      </c>
      <c r="E303" s="6" t="s">
        <v>101</v>
      </c>
      <c r="F303" s="41"/>
      <c r="G303" s="37"/>
      <c r="J303" s="37"/>
    </row>
    <row r="304" spans="1:10" ht="12.75">
      <c r="A304" s="30"/>
      <c r="B304" s="4">
        <v>231</v>
      </c>
      <c r="C304" s="4">
        <v>1620</v>
      </c>
      <c r="D304" s="105" t="s">
        <v>164</v>
      </c>
      <c r="E304" s="6" t="s">
        <v>81</v>
      </c>
      <c r="F304" s="41"/>
      <c r="G304" s="37"/>
      <c r="J304" s="37"/>
    </row>
    <row r="305" spans="1:10" ht="12.75">
      <c r="A305" s="30"/>
      <c r="B305" s="4">
        <v>231</v>
      </c>
      <c r="C305" s="4">
        <v>2130</v>
      </c>
      <c r="D305" s="105" t="s">
        <v>164</v>
      </c>
      <c r="E305" s="6" t="s">
        <v>15</v>
      </c>
      <c r="F305" s="41"/>
      <c r="G305" s="37"/>
      <c r="J305" s="37"/>
    </row>
    <row r="306" spans="1:10" ht="12.75">
      <c r="A306" s="30"/>
      <c r="B306" s="4">
        <v>231</v>
      </c>
      <c r="C306" s="4">
        <v>2820</v>
      </c>
      <c r="D306" s="105" t="s">
        <v>164</v>
      </c>
      <c r="E306" s="6" t="s">
        <v>16</v>
      </c>
      <c r="F306" s="41"/>
      <c r="G306" s="37"/>
      <c r="J306" s="37"/>
    </row>
    <row r="307" spans="1:10" ht="12.75">
      <c r="A307" s="30"/>
      <c r="B307" s="4">
        <v>231</v>
      </c>
      <c r="C307" s="4">
        <v>2830</v>
      </c>
      <c r="D307" s="105" t="s">
        <v>164</v>
      </c>
      <c r="E307" s="6" t="s">
        <v>17</v>
      </c>
      <c r="F307" s="41"/>
      <c r="G307" s="37"/>
      <c r="J307" s="37"/>
    </row>
    <row r="308" spans="1:10" ht="12.75">
      <c r="A308" s="30"/>
      <c r="B308" s="4">
        <v>231</v>
      </c>
      <c r="C308" s="4">
        <v>2840</v>
      </c>
      <c r="D308" s="105" t="s">
        <v>164</v>
      </c>
      <c r="E308" s="6" t="s">
        <v>18</v>
      </c>
      <c r="F308" s="41"/>
      <c r="G308" s="37"/>
      <c r="J308" s="37"/>
    </row>
    <row r="309" spans="1:10" ht="12.75">
      <c r="A309" s="30"/>
      <c r="B309" s="4">
        <v>231</v>
      </c>
      <c r="C309" s="4">
        <v>2850</v>
      </c>
      <c r="D309" s="105" t="s">
        <v>164</v>
      </c>
      <c r="E309" s="6" t="s">
        <v>19</v>
      </c>
      <c r="F309" s="41"/>
      <c r="G309" s="37"/>
      <c r="J309" s="37"/>
    </row>
    <row r="310" spans="1:21" ht="12.75">
      <c r="A310" s="30"/>
      <c r="B310" s="4">
        <v>231</v>
      </c>
      <c r="C310" s="4">
        <v>3150</v>
      </c>
      <c r="D310" s="105" t="s">
        <v>164</v>
      </c>
      <c r="E310" s="6" t="s">
        <v>102</v>
      </c>
      <c r="F310" s="41">
        <v>2000</v>
      </c>
      <c r="G310" s="37"/>
      <c r="H310" s="41">
        <f>F310+G310</f>
        <v>2000</v>
      </c>
      <c r="J310" s="41">
        <f>SUM(H310:I310)</f>
        <v>2000</v>
      </c>
      <c r="K310" s="41">
        <v>2500</v>
      </c>
      <c r="N310" s="41">
        <v>2500</v>
      </c>
      <c r="O310" s="41"/>
      <c r="P310" s="41">
        <v>2500</v>
      </c>
      <c r="Q310" s="41"/>
      <c r="R310" s="41">
        <v>2500</v>
      </c>
      <c r="S310" s="41"/>
      <c r="T310" s="41">
        <v>2500</v>
      </c>
      <c r="U310" s="41"/>
    </row>
    <row r="311" spans="1:21" ht="12.75">
      <c r="A311" s="3"/>
      <c r="B311" s="4">
        <v>231</v>
      </c>
      <c r="C311" s="4">
        <v>3170</v>
      </c>
      <c r="D311" s="105" t="s">
        <v>164</v>
      </c>
      <c r="E311" s="6" t="s">
        <v>31</v>
      </c>
      <c r="F311" s="41">
        <v>60000</v>
      </c>
      <c r="G311" s="37"/>
      <c r="H311" s="41">
        <f>F311+G311</f>
        <v>60000</v>
      </c>
      <c r="J311" s="41">
        <f>SUM(H311:I311)</f>
        <v>60000</v>
      </c>
      <c r="K311" s="41">
        <v>50000</v>
      </c>
      <c r="N311" s="41">
        <v>40000</v>
      </c>
      <c r="O311" s="41"/>
      <c r="P311" s="41">
        <v>40000</v>
      </c>
      <c r="Q311" s="41"/>
      <c r="R311" s="41">
        <v>15000</v>
      </c>
      <c r="S311" s="41"/>
      <c r="T311" s="41">
        <v>15000</v>
      </c>
      <c r="U311" s="41"/>
    </row>
    <row r="312" spans="1:21" ht="12.75">
      <c r="A312" s="3"/>
      <c r="B312" s="4">
        <v>231</v>
      </c>
      <c r="C312" s="4">
        <v>3180</v>
      </c>
      <c r="D312" s="105" t="s">
        <v>164</v>
      </c>
      <c r="E312" s="6" t="s">
        <v>32</v>
      </c>
      <c r="F312" s="41">
        <v>48000</v>
      </c>
      <c r="G312" s="37"/>
      <c r="H312" s="41">
        <f>F312+G312</f>
        <v>48000</v>
      </c>
      <c r="J312" s="41">
        <f>SUM(H312:I312)</f>
        <v>48000</v>
      </c>
      <c r="K312" s="41">
        <v>12500</v>
      </c>
      <c r="N312" s="41">
        <v>12500</v>
      </c>
      <c r="O312" s="41"/>
      <c r="P312" s="41">
        <v>12500</v>
      </c>
      <c r="Q312" s="41"/>
      <c r="R312" s="41">
        <v>12500</v>
      </c>
      <c r="S312" s="41"/>
      <c r="T312" s="41">
        <v>12550</v>
      </c>
      <c r="U312" s="41"/>
    </row>
    <row r="313" spans="1:10" ht="12.75">
      <c r="A313" s="3"/>
      <c r="B313" s="4">
        <v>231</v>
      </c>
      <c r="C313" s="4">
        <v>3190</v>
      </c>
      <c r="D313" s="105" t="s">
        <v>164</v>
      </c>
      <c r="E313" s="6" t="s">
        <v>69</v>
      </c>
      <c r="F313" s="41"/>
      <c r="G313" s="37"/>
      <c r="J313" s="37"/>
    </row>
    <row r="314" spans="1:10" ht="12.75">
      <c r="A314" s="3"/>
      <c r="B314" s="4">
        <v>231</v>
      </c>
      <c r="C314" s="4">
        <v>3410</v>
      </c>
      <c r="D314" s="105" t="s">
        <v>164</v>
      </c>
      <c r="E314" s="6" t="s">
        <v>70</v>
      </c>
      <c r="F314" s="41"/>
      <c r="G314" s="37"/>
      <c r="J314" s="37"/>
    </row>
    <row r="315" spans="1:10" ht="12.75">
      <c r="A315" s="3"/>
      <c r="B315" s="4">
        <v>231</v>
      </c>
      <c r="C315" s="4">
        <v>3220</v>
      </c>
      <c r="D315" s="105" t="s">
        <v>164</v>
      </c>
      <c r="E315" s="6" t="s">
        <v>33</v>
      </c>
      <c r="F315" s="41"/>
      <c r="G315" s="37"/>
      <c r="J315" s="37"/>
    </row>
    <row r="316" spans="1:10" ht="12.75">
      <c r="A316" s="3"/>
      <c r="B316" s="4">
        <v>231</v>
      </c>
      <c r="C316" s="42">
        <v>7910</v>
      </c>
      <c r="D316" s="105" t="s">
        <v>164</v>
      </c>
      <c r="E316" s="8" t="s">
        <v>0</v>
      </c>
      <c r="F316" s="41"/>
      <c r="G316" s="37"/>
      <c r="J316" s="37"/>
    </row>
    <row r="317" spans="1:21" ht="13.5" thickBot="1">
      <c r="A317" s="145" t="s">
        <v>153</v>
      </c>
      <c r="B317" s="146"/>
      <c r="C317" s="146"/>
      <c r="D317" s="146"/>
      <c r="E317" s="147"/>
      <c r="F317" s="88">
        <f aca="true" t="shared" si="22" ref="F317:K317">SUM(F303:F316)</f>
        <v>110000</v>
      </c>
      <c r="G317" s="88">
        <f t="shared" si="22"/>
        <v>0</v>
      </c>
      <c r="H317" s="88">
        <f t="shared" si="22"/>
        <v>110000</v>
      </c>
      <c r="I317" s="88">
        <f t="shared" si="22"/>
        <v>0</v>
      </c>
      <c r="J317" s="88">
        <f t="shared" si="22"/>
        <v>110000</v>
      </c>
      <c r="K317" s="88">
        <f t="shared" si="22"/>
        <v>65000</v>
      </c>
      <c r="N317" s="88">
        <f>SUM(N303:N316)</f>
        <v>55000</v>
      </c>
      <c r="O317" s="133"/>
      <c r="P317" s="88">
        <f>SUM(P303:P316)</f>
        <v>55000</v>
      </c>
      <c r="Q317" s="133"/>
      <c r="R317" s="88">
        <f>SUM(R303:R316)</f>
        <v>30000</v>
      </c>
      <c r="S317" s="133"/>
      <c r="T317" s="88">
        <f>SUM(T303:T316)</f>
        <v>30050</v>
      </c>
      <c r="U317" s="133"/>
    </row>
    <row r="318" spans="1:10" ht="12.75">
      <c r="A318" s="18" t="s">
        <v>5</v>
      </c>
      <c r="B318" s="19" t="s">
        <v>5</v>
      </c>
      <c r="C318" s="23"/>
      <c r="D318" s="23"/>
      <c r="E318" s="24"/>
      <c r="F318" s="41"/>
      <c r="G318" s="37"/>
      <c r="J318" s="37"/>
    </row>
    <row r="319" spans="1:10" ht="11.25" customHeight="1">
      <c r="A319" s="151" t="s">
        <v>123</v>
      </c>
      <c r="B319" s="152"/>
      <c r="C319" s="152"/>
      <c r="D319" s="152"/>
      <c r="E319" s="159"/>
      <c r="F319" s="41"/>
      <c r="G319" s="37"/>
      <c r="I319" s="37"/>
      <c r="J319" s="37"/>
    </row>
    <row r="320" spans="1:10" ht="12.75" hidden="1">
      <c r="A320" s="20"/>
      <c r="B320" s="15">
        <v>232</v>
      </c>
      <c r="C320" s="4">
        <v>1110</v>
      </c>
      <c r="D320" s="105" t="s">
        <v>164</v>
      </c>
      <c r="E320" s="6" t="s">
        <v>132</v>
      </c>
      <c r="F320" s="41"/>
      <c r="G320" s="37"/>
      <c r="I320" s="37"/>
      <c r="J320" s="37"/>
    </row>
    <row r="321" spans="1:21" ht="12.75" hidden="1">
      <c r="A321" s="3"/>
      <c r="B321" s="4">
        <v>232</v>
      </c>
      <c r="C321" s="4">
        <v>1170</v>
      </c>
      <c r="D321" s="105" t="s">
        <v>164</v>
      </c>
      <c r="E321" s="6" t="s">
        <v>189</v>
      </c>
      <c r="F321" s="41"/>
      <c r="G321" s="41">
        <v>70000</v>
      </c>
      <c r="H321" s="41">
        <f>F321+G321</f>
        <v>70000</v>
      </c>
      <c r="I321" s="37"/>
      <c r="J321" s="41">
        <f>SUM(H321:I321)</f>
        <v>70000</v>
      </c>
      <c r="K321" s="41"/>
      <c r="N321" s="41"/>
      <c r="O321" s="41"/>
      <c r="P321" s="41"/>
      <c r="Q321" s="41"/>
      <c r="R321" s="41"/>
      <c r="S321" s="41"/>
      <c r="T321" s="41"/>
      <c r="U321" s="41"/>
    </row>
    <row r="322" spans="1:10" ht="12.75" hidden="1">
      <c r="A322" s="3"/>
      <c r="B322" s="4">
        <v>232</v>
      </c>
      <c r="C322" s="4">
        <v>1620</v>
      </c>
      <c r="D322" s="105" t="s">
        <v>164</v>
      </c>
      <c r="E322" s="6" t="s">
        <v>2</v>
      </c>
      <c r="F322" s="41"/>
      <c r="G322" s="37"/>
      <c r="H322" s="41"/>
      <c r="I322" s="37"/>
      <c r="J322" s="37"/>
    </row>
    <row r="323" spans="1:10" ht="12.75" hidden="1">
      <c r="A323" s="3"/>
      <c r="B323" s="4">
        <v>232</v>
      </c>
      <c r="C323" s="4">
        <v>2110</v>
      </c>
      <c r="D323" s="105" t="s">
        <v>164</v>
      </c>
      <c r="E323" s="6" t="s">
        <v>64</v>
      </c>
      <c r="F323" s="41"/>
      <c r="G323" s="37"/>
      <c r="I323" s="37"/>
      <c r="J323" s="37"/>
    </row>
    <row r="324" spans="1:10" ht="12.75" hidden="1">
      <c r="A324" s="3"/>
      <c r="B324" s="4">
        <v>232</v>
      </c>
      <c r="C324" s="29">
        <v>2130</v>
      </c>
      <c r="D324" s="105" t="s">
        <v>164</v>
      </c>
      <c r="E324" s="6" t="s">
        <v>65</v>
      </c>
      <c r="F324" s="41"/>
      <c r="G324" s="37"/>
      <c r="I324" s="37"/>
      <c r="J324" s="37"/>
    </row>
    <row r="325" spans="1:21" ht="12.75" hidden="1">
      <c r="A325" s="3"/>
      <c r="B325" s="4">
        <v>232</v>
      </c>
      <c r="C325" s="4">
        <v>2130</v>
      </c>
      <c r="D325" s="105" t="s">
        <v>164</v>
      </c>
      <c r="E325" s="6" t="s">
        <v>15</v>
      </c>
      <c r="F325" s="41"/>
      <c r="G325" s="41">
        <v>6667</v>
      </c>
      <c r="H325" s="41">
        <f aca="true" t="shared" si="23" ref="H325:H331">F325+G325</f>
        <v>6667</v>
      </c>
      <c r="I325" s="37"/>
      <c r="J325" s="41">
        <f aca="true" t="shared" si="24" ref="J325:J330">SUM(H325:I325)</f>
        <v>6667</v>
      </c>
      <c r="K325" s="41"/>
      <c r="N325" s="41"/>
      <c r="O325" s="41"/>
      <c r="P325" s="41"/>
      <c r="Q325" s="41"/>
      <c r="R325" s="41"/>
      <c r="S325" s="41"/>
      <c r="T325" s="41"/>
      <c r="U325" s="41"/>
    </row>
    <row r="326" spans="1:21" ht="12.75" hidden="1">
      <c r="A326" s="3"/>
      <c r="B326" s="4">
        <v>232</v>
      </c>
      <c r="C326" s="4">
        <v>2820</v>
      </c>
      <c r="D326" s="105" t="s">
        <v>164</v>
      </c>
      <c r="E326" s="6" t="s">
        <v>16</v>
      </c>
      <c r="F326" s="41"/>
      <c r="G326" s="41">
        <f>G321*0.06</f>
        <v>4200</v>
      </c>
      <c r="H326" s="41">
        <f t="shared" si="23"/>
        <v>4200</v>
      </c>
      <c r="I326" s="41">
        <f>-H326/2</f>
        <v>-2100</v>
      </c>
      <c r="J326" s="41">
        <f t="shared" si="24"/>
        <v>2100</v>
      </c>
      <c r="K326" s="41"/>
      <c r="N326" s="41"/>
      <c r="O326" s="41"/>
      <c r="P326" s="41"/>
      <c r="Q326" s="41"/>
      <c r="R326" s="41"/>
      <c r="S326" s="41"/>
      <c r="T326" s="41"/>
      <c r="U326" s="41"/>
    </row>
    <row r="327" spans="1:21" ht="12.75" hidden="1">
      <c r="A327" s="3"/>
      <c r="B327" s="4">
        <v>232</v>
      </c>
      <c r="C327" s="4">
        <v>2830</v>
      </c>
      <c r="D327" s="105" t="s">
        <v>164</v>
      </c>
      <c r="E327" s="6" t="s">
        <v>17</v>
      </c>
      <c r="F327" s="41"/>
      <c r="G327" s="41">
        <f>G321*0.0765</f>
        <v>5355</v>
      </c>
      <c r="H327" s="41">
        <f t="shared" si="23"/>
        <v>5355</v>
      </c>
      <c r="I327" s="41"/>
      <c r="J327" s="41">
        <f t="shared" si="24"/>
        <v>5355</v>
      </c>
      <c r="K327" s="41"/>
      <c r="N327" s="41"/>
      <c r="O327" s="41"/>
      <c r="P327" s="41"/>
      <c r="Q327" s="41"/>
      <c r="R327" s="41"/>
      <c r="S327" s="41"/>
      <c r="T327" s="41"/>
      <c r="U327" s="41"/>
    </row>
    <row r="328" spans="1:21" ht="12.75" hidden="1">
      <c r="A328" s="3"/>
      <c r="B328" s="4">
        <v>232</v>
      </c>
      <c r="C328" s="4">
        <v>2840</v>
      </c>
      <c r="D328" s="105" t="s">
        <v>164</v>
      </c>
      <c r="E328" s="6" t="s">
        <v>18</v>
      </c>
      <c r="F328" s="41"/>
      <c r="G328" s="41">
        <f>G321*0.0055</f>
        <v>385</v>
      </c>
      <c r="H328" s="41">
        <f t="shared" si="23"/>
        <v>385</v>
      </c>
      <c r="I328" s="41"/>
      <c r="J328" s="41">
        <f t="shared" si="24"/>
        <v>385</v>
      </c>
      <c r="K328" s="41"/>
      <c r="N328" s="41"/>
      <c r="O328" s="41"/>
      <c r="P328" s="41"/>
      <c r="Q328" s="41"/>
      <c r="R328" s="41"/>
      <c r="S328" s="41"/>
      <c r="T328" s="41"/>
      <c r="U328" s="41"/>
    </row>
    <row r="329" spans="1:21" ht="12.75" hidden="1">
      <c r="A329" s="3"/>
      <c r="B329" s="4">
        <v>232</v>
      </c>
      <c r="C329" s="4">
        <v>2850</v>
      </c>
      <c r="D329" s="105" t="s">
        <v>164</v>
      </c>
      <c r="E329" s="6" t="s">
        <v>19</v>
      </c>
      <c r="F329" s="41"/>
      <c r="G329" s="41">
        <v>995</v>
      </c>
      <c r="H329" s="41">
        <f t="shared" si="23"/>
        <v>995</v>
      </c>
      <c r="I329" s="41">
        <v>-500</v>
      </c>
      <c r="J329" s="41">
        <f t="shared" si="24"/>
        <v>495</v>
      </c>
      <c r="K329" s="41"/>
      <c r="N329" s="41"/>
      <c r="O329" s="41"/>
      <c r="P329" s="41"/>
      <c r="Q329" s="41"/>
      <c r="R329" s="41"/>
      <c r="S329" s="41"/>
      <c r="T329" s="41"/>
      <c r="U329" s="41"/>
    </row>
    <row r="330" spans="1:21" ht="12.75">
      <c r="A330" s="3"/>
      <c r="B330" s="45">
        <v>232</v>
      </c>
      <c r="C330" s="45">
        <v>3150</v>
      </c>
      <c r="D330" s="105" t="s">
        <v>164</v>
      </c>
      <c r="E330" s="43" t="s">
        <v>102</v>
      </c>
      <c r="F330" s="41">
        <f>153000+66000+60000</f>
        <v>279000</v>
      </c>
      <c r="G330" s="41">
        <v>34000</v>
      </c>
      <c r="H330" s="41">
        <f t="shared" si="23"/>
        <v>313000</v>
      </c>
      <c r="I330" s="41"/>
      <c r="J330" s="41">
        <f t="shared" si="24"/>
        <v>313000</v>
      </c>
      <c r="K330" s="41">
        <v>180250</v>
      </c>
      <c r="N330" s="41">
        <v>185658</v>
      </c>
      <c r="O330" s="41"/>
      <c r="P330" s="41">
        <v>191228</v>
      </c>
      <c r="Q330" s="41"/>
      <c r="R330" s="41">
        <v>192779</v>
      </c>
      <c r="S330" s="41"/>
      <c r="T330" s="41">
        <v>198562</v>
      </c>
      <c r="U330" s="41"/>
    </row>
    <row r="331" spans="1:21" ht="12.75">
      <c r="A331" s="3"/>
      <c r="B331" s="4">
        <v>232</v>
      </c>
      <c r="C331" s="4">
        <v>3190</v>
      </c>
      <c r="D331" s="105" t="s">
        <v>164</v>
      </c>
      <c r="E331" s="6" t="s">
        <v>103</v>
      </c>
      <c r="F331" s="41">
        <f>SUM(F18:F19)*0.03</f>
        <v>313793.445</v>
      </c>
      <c r="G331" s="41"/>
      <c r="H331" s="41">
        <f t="shared" si="23"/>
        <v>313793.445</v>
      </c>
      <c r="I331" s="41">
        <f>J331-H331</f>
        <v>-27545.804999999993</v>
      </c>
      <c r="J331" s="41">
        <f>SUM(J18:J19)*0.03</f>
        <v>286247.64</v>
      </c>
      <c r="K331" s="41">
        <f>(K18+K19)*0.03</f>
        <v>219710.72999999998</v>
      </c>
      <c r="N331" s="41">
        <f>(N18+N19)*0.03</f>
        <v>227161.1895</v>
      </c>
      <c r="O331" s="41"/>
      <c r="P331" s="41">
        <f>(P18+P19)*0.03</f>
        <v>240336.1395</v>
      </c>
      <c r="Q331" s="41"/>
      <c r="R331" s="41">
        <f>(R18+R19)*0.03</f>
        <v>258303.21</v>
      </c>
      <c r="S331" s="41"/>
      <c r="T331" s="41">
        <f>(T18+T19)*0.03</f>
        <v>264880.41</v>
      </c>
      <c r="U331" s="41"/>
    </row>
    <row r="332" spans="1:21" ht="12.75">
      <c r="A332" s="3"/>
      <c r="B332" s="4">
        <v>232</v>
      </c>
      <c r="C332" s="4">
        <v>3190</v>
      </c>
      <c r="D332" s="105" t="s">
        <v>164</v>
      </c>
      <c r="E332" s="6" t="s">
        <v>69</v>
      </c>
      <c r="F332" s="41"/>
      <c r="G332" s="41"/>
      <c r="H332" s="41"/>
      <c r="I332" s="41"/>
      <c r="J332" s="41"/>
      <c r="K332" s="41">
        <v>66000</v>
      </c>
      <c r="N332" s="41"/>
      <c r="O332" s="41"/>
      <c r="P332" s="41"/>
      <c r="Q332" s="41"/>
      <c r="R332" s="41"/>
      <c r="S332" s="41"/>
      <c r="T332" s="41"/>
      <c r="U332" s="41"/>
    </row>
    <row r="333" spans="1:21" ht="12.75">
      <c r="A333" s="3"/>
      <c r="B333" s="4">
        <v>232</v>
      </c>
      <c r="C333" s="4">
        <v>3220</v>
      </c>
      <c r="D333" s="105" t="s">
        <v>164</v>
      </c>
      <c r="E333" s="6" t="s">
        <v>20</v>
      </c>
      <c r="F333" s="41">
        <v>1200</v>
      </c>
      <c r="G333" s="41"/>
      <c r="H333" s="41">
        <f>F333+G333</f>
        <v>1200</v>
      </c>
      <c r="I333" s="41">
        <v>173</v>
      </c>
      <c r="J333" s="41">
        <f>SUM(H333:I333)</f>
        <v>1373</v>
      </c>
      <c r="K333" s="41">
        <v>1500</v>
      </c>
      <c r="N333" s="41">
        <v>1500</v>
      </c>
      <c r="O333" s="41"/>
      <c r="P333" s="41">
        <v>1500</v>
      </c>
      <c r="Q333" s="41"/>
      <c r="R333" s="41">
        <v>1500</v>
      </c>
      <c r="S333" s="41"/>
      <c r="T333" s="41">
        <v>1500</v>
      </c>
      <c r="U333" s="41"/>
    </row>
    <row r="334" spans="1:10" ht="12.75" hidden="1">
      <c r="A334" s="3"/>
      <c r="B334" s="4">
        <v>232</v>
      </c>
      <c r="C334" s="4">
        <v>3410</v>
      </c>
      <c r="D334" s="105" t="s">
        <v>164</v>
      </c>
      <c r="E334" s="6" t="s">
        <v>70</v>
      </c>
      <c r="F334" s="41"/>
      <c r="G334" s="41"/>
      <c r="H334" s="41"/>
      <c r="I334" s="41"/>
      <c r="J334" s="41"/>
    </row>
    <row r="335" spans="1:21" ht="12.75">
      <c r="A335" s="3"/>
      <c r="B335" s="4">
        <v>232</v>
      </c>
      <c r="C335" s="4">
        <v>3430</v>
      </c>
      <c r="D335" s="105" t="s">
        <v>164</v>
      </c>
      <c r="E335" s="6" t="s">
        <v>71</v>
      </c>
      <c r="F335" s="41">
        <v>4000</v>
      </c>
      <c r="G335" s="41"/>
      <c r="H335" s="41">
        <f aca="true" t="shared" si="25" ref="H335:H341">F335+G335</f>
        <v>4000</v>
      </c>
      <c r="I335" s="41"/>
      <c r="J335" s="41">
        <f aca="true" t="shared" si="26" ref="J335:K341">SUM(H335:I335)</f>
        <v>4000</v>
      </c>
      <c r="K335" s="41">
        <f t="shared" si="26"/>
        <v>4000</v>
      </c>
      <c r="N335" s="41">
        <f>SUM(K335:L335)</f>
        <v>4000</v>
      </c>
      <c r="O335" s="41"/>
      <c r="P335" s="41">
        <f>SUM(M335:N335)</f>
        <v>4000</v>
      </c>
      <c r="Q335" s="41"/>
      <c r="R335" s="41">
        <v>3000</v>
      </c>
      <c r="S335" s="41"/>
      <c r="T335" s="41">
        <v>2500</v>
      </c>
      <c r="U335" s="41"/>
    </row>
    <row r="336" spans="1:21" ht="12" customHeight="1">
      <c r="A336" s="3"/>
      <c r="B336" s="4">
        <v>232</v>
      </c>
      <c r="C336" s="4">
        <v>3510</v>
      </c>
      <c r="D336" s="105" t="s">
        <v>164</v>
      </c>
      <c r="E336" s="6" t="s">
        <v>36</v>
      </c>
      <c r="F336" s="41">
        <v>80000</v>
      </c>
      <c r="G336" s="41"/>
      <c r="H336" s="41">
        <f t="shared" si="25"/>
        <v>80000</v>
      </c>
      <c r="I336" s="41">
        <v>-18382</v>
      </c>
      <c r="J336" s="41">
        <f t="shared" si="26"/>
        <v>61618</v>
      </c>
      <c r="K336" s="41">
        <v>50000</v>
      </c>
      <c r="N336" s="41">
        <v>50000</v>
      </c>
      <c r="O336" s="41"/>
      <c r="P336" s="41">
        <v>50000</v>
      </c>
      <c r="Q336" s="41"/>
      <c r="R336" s="41">
        <v>75000</v>
      </c>
      <c r="S336" s="41"/>
      <c r="T336" s="41">
        <v>70000</v>
      </c>
      <c r="U336" s="41"/>
    </row>
    <row r="337" spans="1:10" ht="12.75" hidden="1">
      <c r="A337" s="3"/>
      <c r="B337" s="4">
        <v>232</v>
      </c>
      <c r="C337" s="4">
        <v>3510</v>
      </c>
      <c r="D337" s="105" t="s">
        <v>169</v>
      </c>
      <c r="E337" s="6" t="s">
        <v>176</v>
      </c>
      <c r="F337" s="41">
        <v>2500</v>
      </c>
      <c r="G337" s="41"/>
      <c r="H337" s="41">
        <f t="shared" si="25"/>
        <v>2500</v>
      </c>
      <c r="I337" s="41"/>
      <c r="J337" s="41">
        <f t="shared" si="26"/>
        <v>2500</v>
      </c>
    </row>
    <row r="338" spans="1:21" ht="12" customHeight="1">
      <c r="A338" s="3"/>
      <c r="B338" s="4">
        <v>232</v>
      </c>
      <c r="C338" s="4">
        <v>3610</v>
      </c>
      <c r="D338" s="105" t="s">
        <v>164</v>
      </c>
      <c r="E338" s="6" t="s">
        <v>21</v>
      </c>
      <c r="F338" s="41">
        <v>3000</v>
      </c>
      <c r="G338" s="41"/>
      <c r="H338" s="41">
        <f t="shared" si="25"/>
        <v>3000</v>
      </c>
      <c r="I338" s="41"/>
      <c r="J338" s="41">
        <f t="shared" si="26"/>
        <v>3000</v>
      </c>
      <c r="K338" s="41">
        <f t="shared" si="26"/>
        <v>3000</v>
      </c>
      <c r="N338" s="41">
        <f>SUM(K338:L338)</f>
        <v>3000</v>
      </c>
      <c r="O338" s="41"/>
      <c r="P338" s="41">
        <f>SUM(M338:N338)</f>
        <v>3000</v>
      </c>
      <c r="Q338" s="41"/>
      <c r="R338" s="41">
        <v>2500</v>
      </c>
      <c r="S338" s="41"/>
      <c r="T338" s="41">
        <v>2200</v>
      </c>
      <c r="U338" s="41"/>
    </row>
    <row r="339" spans="1:21" ht="12.75" hidden="1">
      <c r="A339" s="3"/>
      <c r="B339" s="4">
        <v>232</v>
      </c>
      <c r="C339" s="4">
        <v>3910</v>
      </c>
      <c r="D339" s="105" t="s">
        <v>164</v>
      </c>
      <c r="E339" s="6" t="s">
        <v>229</v>
      </c>
      <c r="F339" s="41"/>
      <c r="G339" s="41"/>
      <c r="H339" s="41"/>
      <c r="I339" s="41"/>
      <c r="J339" s="41"/>
      <c r="K339" s="41"/>
      <c r="N339" s="41"/>
      <c r="O339" s="41"/>
      <c r="P339" s="41"/>
      <c r="Q339" s="41"/>
      <c r="R339" s="41"/>
      <c r="S339" s="41"/>
      <c r="T339" s="41"/>
      <c r="U339" s="41"/>
    </row>
    <row r="340" spans="1:21" ht="12.75">
      <c r="A340" s="3"/>
      <c r="B340" s="4">
        <v>232</v>
      </c>
      <c r="C340" s="4">
        <v>5910</v>
      </c>
      <c r="D340" s="105" t="s">
        <v>164</v>
      </c>
      <c r="E340" s="6" t="s">
        <v>35</v>
      </c>
      <c r="F340" s="41">
        <v>4000</v>
      </c>
      <c r="G340" s="41"/>
      <c r="H340" s="41">
        <f t="shared" si="25"/>
        <v>4000</v>
      </c>
      <c r="I340" s="41"/>
      <c r="J340" s="41">
        <f t="shared" si="26"/>
        <v>4000</v>
      </c>
      <c r="K340" s="41">
        <v>3500</v>
      </c>
      <c r="N340" s="41">
        <v>3500</v>
      </c>
      <c r="O340" s="41"/>
      <c r="P340" s="41">
        <v>3500</v>
      </c>
      <c r="Q340" s="41"/>
      <c r="R340" s="41">
        <v>3300</v>
      </c>
      <c r="S340" s="41"/>
      <c r="T340" s="41">
        <v>3100</v>
      </c>
      <c r="U340" s="41"/>
    </row>
    <row r="341" spans="1:21" ht="12.75">
      <c r="A341" s="3"/>
      <c r="B341" s="4">
        <v>232</v>
      </c>
      <c r="C341" s="4">
        <v>6410</v>
      </c>
      <c r="D341" s="105" t="s">
        <v>164</v>
      </c>
      <c r="E341" s="6" t="s">
        <v>25</v>
      </c>
      <c r="F341" s="41">
        <v>500</v>
      </c>
      <c r="G341" s="41"/>
      <c r="H341" s="41">
        <f t="shared" si="25"/>
        <v>500</v>
      </c>
      <c r="I341" s="41"/>
      <c r="J341" s="41">
        <f t="shared" si="26"/>
        <v>500</v>
      </c>
      <c r="K341" s="41"/>
      <c r="N341" s="41"/>
      <c r="O341" s="41"/>
      <c r="P341" s="41"/>
      <c r="Q341" s="41"/>
      <c r="R341" s="41"/>
      <c r="S341" s="41"/>
      <c r="T341" s="41"/>
      <c r="U341" s="41"/>
    </row>
    <row r="342" spans="1:10" ht="12.75">
      <c r="A342" s="3"/>
      <c r="B342" s="4">
        <v>232</v>
      </c>
      <c r="C342" s="4">
        <v>7410</v>
      </c>
      <c r="D342" s="105" t="s">
        <v>164</v>
      </c>
      <c r="E342" s="6" t="s">
        <v>26</v>
      </c>
      <c r="F342" s="41"/>
      <c r="G342" s="41"/>
      <c r="H342" s="41"/>
      <c r="I342" s="41"/>
      <c r="J342" s="41"/>
    </row>
    <row r="343" spans="1:21" ht="12.75">
      <c r="A343" s="3"/>
      <c r="B343" s="4">
        <v>232</v>
      </c>
      <c r="C343" s="42">
        <v>7910</v>
      </c>
      <c r="D343" s="105" t="s">
        <v>164</v>
      </c>
      <c r="E343" s="8" t="s">
        <v>0</v>
      </c>
      <c r="F343" s="41">
        <v>15000</v>
      </c>
      <c r="G343" s="41"/>
      <c r="H343" s="41">
        <f>F343+G343</f>
        <v>15000</v>
      </c>
      <c r="I343" s="41">
        <v>-2000</v>
      </c>
      <c r="J343" s="41">
        <f>SUM(H343:I343)</f>
        <v>13000</v>
      </c>
      <c r="K343" s="41">
        <v>6500</v>
      </c>
      <c r="N343" s="41">
        <v>6500</v>
      </c>
      <c r="O343" s="41"/>
      <c r="P343" s="41">
        <v>6500</v>
      </c>
      <c r="Q343" s="41"/>
      <c r="R343" s="41">
        <v>7000</v>
      </c>
      <c r="S343" s="41"/>
      <c r="T343" s="41">
        <v>8000</v>
      </c>
      <c r="U343" s="41"/>
    </row>
    <row r="344" spans="1:21" ht="13.5" thickBot="1">
      <c r="A344" s="145" t="s">
        <v>148</v>
      </c>
      <c r="B344" s="146"/>
      <c r="C344" s="146"/>
      <c r="D344" s="146"/>
      <c r="E344" s="147"/>
      <c r="F344" s="88">
        <f aca="true" t="shared" si="27" ref="F344:K344">SUM(F320:F343)</f>
        <v>702993.4450000001</v>
      </c>
      <c r="G344" s="118">
        <f t="shared" si="27"/>
        <v>121602</v>
      </c>
      <c r="H344" s="88">
        <f t="shared" si="27"/>
        <v>824595.4450000001</v>
      </c>
      <c r="I344" s="118">
        <f t="shared" si="27"/>
        <v>-50354.80499999999</v>
      </c>
      <c r="J344" s="118">
        <f t="shared" si="27"/>
        <v>774240.64</v>
      </c>
      <c r="K344" s="118">
        <f t="shared" si="27"/>
        <v>534460.73</v>
      </c>
      <c r="N344" s="118">
        <f>SUM(N320:N343)</f>
        <v>481319.1895</v>
      </c>
      <c r="O344" s="135"/>
      <c r="P344" s="118">
        <f>SUM(P320:P343)</f>
        <v>500064.1395</v>
      </c>
      <c r="Q344" s="135"/>
      <c r="R344" s="118">
        <f>SUM(R320:R343)</f>
        <v>543382.21</v>
      </c>
      <c r="S344" s="135"/>
      <c r="T344" s="118">
        <f>SUM(T320:T343)</f>
        <v>550742.4099999999</v>
      </c>
      <c r="U344" s="135"/>
    </row>
    <row r="345" spans="1:10" ht="12.75">
      <c r="A345" s="151" t="s">
        <v>124</v>
      </c>
      <c r="B345" s="152" t="s">
        <v>37</v>
      </c>
      <c r="C345" s="152"/>
      <c r="D345" s="152"/>
      <c r="E345" s="159"/>
      <c r="F345" s="41"/>
      <c r="G345" s="41"/>
      <c r="I345" s="37"/>
      <c r="J345" s="37"/>
    </row>
    <row r="346" spans="1:21" ht="12.75">
      <c r="A346" s="3"/>
      <c r="B346" s="4">
        <v>241</v>
      </c>
      <c r="C346" s="4">
        <v>1150</v>
      </c>
      <c r="D346" s="105" t="s">
        <v>164</v>
      </c>
      <c r="E346" s="6" t="s">
        <v>38</v>
      </c>
      <c r="F346" s="41">
        <v>100000</v>
      </c>
      <c r="G346" s="41">
        <v>-6115</v>
      </c>
      <c r="H346" s="41">
        <f aca="true" t="shared" si="28" ref="H346:H354">F346+G346</f>
        <v>93885</v>
      </c>
      <c r="I346" s="37"/>
      <c r="J346" s="41">
        <f>SUM(H346:I346)</f>
        <v>93885</v>
      </c>
      <c r="K346" s="41">
        <v>90000</v>
      </c>
      <c r="N346" s="41">
        <v>95000</v>
      </c>
      <c r="O346" s="41"/>
      <c r="P346" s="41">
        <v>100000</v>
      </c>
      <c r="Q346" s="41"/>
      <c r="R346" s="41">
        <v>105000</v>
      </c>
      <c r="S346" s="41"/>
      <c r="T346" s="41">
        <v>162500</v>
      </c>
      <c r="U346" s="41"/>
    </row>
    <row r="347" spans="1:21" ht="12.75">
      <c r="A347" s="3"/>
      <c r="B347" s="4">
        <v>241</v>
      </c>
      <c r="C347" s="4">
        <v>1160</v>
      </c>
      <c r="D347" s="105" t="s">
        <v>164</v>
      </c>
      <c r="E347" s="6" t="s">
        <v>184</v>
      </c>
      <c r="F347" s="41">
        <v>75000</v>
      </c>
      <c r="G347" s="41">
        <v>-12500</v>
      </c>
      <c r="H347" s="41">
        <f t="shared" si="28"/>
        <v>62500</v>
      </c>
      <c r="I347" s="37">
        <v>6423</v>
      </c>
      <c r="J347" s="41">
        <f>SUM(H347:I347)</f>
        <v>68923</v>
      </c>
      <c r="K347" s="87">
        <v>70000</v>
      </c>
      <c r="N347" s="87">
        <v>72100</v>
      </c>
      <c r="O347" s="87"/>
      <c r="P347" s="87">
        <v>72100</v>
      </c>
      <c r="Q347" s="87"/>
      <c r="R347" s="87">
        <v>210000</v>
      </c>
      <c r="S347" s="87"/>
      <c r="T347" s="87">
        <v>161666</v>
      </c>
      <c r="U347" s="87"/>
    </row>
    <row r="348" spans="1:21" ht="12.75">
      <c r="A348" s="3"/>
      <c r="B348" s="4">
        <v>241</v>
      </c>
      <c r="C348" s="4">
        <v>1620</v>
      </c>
      <c r="D348" s="105" t="s">
        <v>164</v>
      </c>
      <c r="E348" s="6" t="s">
        <v>2</v>
      </c>
      <c r="F348" s="41">
        <v>59900</v>
      </c>
      <c r="G348" s="41"/>
      <c r="H348" s="41">
        <f t="shared" si="28"/>
        <v>59900</v>
      </c>
      <c r="I348" s="41">
        <v>19000</v>
      </c>
      <c r="J348" s="41">
        <f>SUM(H348:I348)</f>
        <v>78900</v>
      </c>
      <c r="K348" s="41">
        <v>103800</v>
      </c>
      <c r="N348" s="41">
        <v>106914</v>
      </c>
      <c r="O348" s="41"/>
      <c r="P348" s="41">
        <v>106914</v>
      </c>
      <c r="Q348" s="41"/>
      <c r="R348" s="41">
        <v>114900</v>
      </c>
      <c r="S348" s="41"/>
      <c r="T348" s="41">
        <v>125000</v>
      </c>
      <c r="U348" s="41"/>
    </row>
    <row r="349" spans="1:21" ht="12.75">
      <c r="A349" s="3"/>
      <c r="B349" s="4">
        <v>241</v>
      </c>
      <c r="C349" s="4">
        <v>2110</v>
      </c>
      <c r="D349" s="105" t="s">
        <v>164</v>
      </c>
      <c r="E349" s="6" t="s">
        <v>64</v>
      </c>
      <c r="F349" s="41">
        <v>750</v>
      </c>
      <c r="G349" s="41"/>
      <c r="H349" s="41">
        <f t="shared" si="28"/>
        <v>750</v>
      </c>
      <c r="I349" s="41"/>
      <c r="J349" s="41">
        <f>SUM(H349:I349)</f>
        <v>750</v>
      </c>
      <c r="K349" s="41">
        <v>650</v>
      </c>
      <c r="N349" s="41">
        <v>650</v>
      </c>
      <c r="O349" s="41"/>
      <c r="P349" s="41">
        <v>650</v>
      </c>
      <c r="Q349" s="41"/>
      <c r="R349" s="41">
        <v>2198</v>
      </c>
      <c r="S349" s="41"/>
      <c r="T349" s="41">
        <f>R349*1.03</f>
        <v>2263.94</v>
      </c>
      <c r="U349" s="41"/>
    </row>
    <row r="350" spans="1:21" ht="12.75">
      <c r="A350" s="3"/>
      <c r="B350" s="4">
        <v>241</v>
      </c>
      <c r="C350" s="4">
        <v>2130</v>
      </c>
      <c r="D350" s="105" t="s">
        <v>164</v>
      </c>
      <c r="E350" s="6" t="s">
        <v>15</v>
      </c>
      <c r="F350" s="41">
        <v>15000</v>
      </c>
      <c r="G350" s="41"/>
      <c r="H350" s="41">
        <f t="shared" si="28"/>
        <v>15000</v>
      </c>
      <c r="I350" s="41"/>
      <c r="J350" s="41">
        <f>SUM(H350:I350)</f>
        <v>15000</v>
      </c>
      <c r="K350" s="41">
        <v>40000</v>
      </c>
      <c r="N350" s="41">
        <v>42000</v>
      </c>
      <c r="O350" s="41"/>
      <c r="P350" s="41">
        <v>44100</v>
      </c>
      <c r="Q350" s="41"/>
      <c r="R350" s="41">
        <f>46597*1.05</f>
        <v>48926.85</v>
      </c>
      <c r="S350" s="41"/>
      <c r="T350" s="41">
        <f>R350*1.05</f>
        <v>51373.1925</v>
      </c>
      <c r="U350" s="41"/>
    </row>
    <row r="351" spans="1:21" ht="12.75">
      <c r="A351" s="3"/>
      <c r="B351" s="4">
        <v>241</v>
      </c>
      <c r="C351" s="4">
        <v>2820</v>
      </c>
      <c r="D351" s="105" t="s">
        <v>164</v>
      </c>
      <c r="E351" s="6" t="s">
        <v>16</v>
      </c>
      <c r="F351" s="41">
        <f>SUM(F346+F347+29900)*0.06+(29900*0.2361)</f>
        <v>19353.39</v>
      </c>
      <c r="G351" s="41">
        <f>(G346+G347)*0.06</f>
        <v>-1116.8999999999999</v>
      </c>
      <c r="H351" s="41">
        <f t="shared" si="28"/>
        <v>18236.489999999998</v>
      </c>
      <c r="I351" s="41">
        <f>J351-H351</f>
        <v>-3565.649999999998</v>
      </c>
      <c r="J351" s="41">
        <f>SUM(J346+J347+42900)*0.03+(36000*0.2361)</f>
        <v>14670.84</v>
      </c>
      <c r="K351" s="41">
        <f>SUM(K346+K347)*0.03</f>
        <v>4800</v>
      </c>
      <c r="N351" s="41">
        <f>SUM(N346+N347)*0.03</f>
        <v>5013</v>
      </c>
      <c r="O351" s="41"/>
      <c r="P351" s="41">
        <f>SUM(P346+P347)*0.03</f>
        <v>5163</v>
      </c>
      <c r="Q351" s="41"/>
      <c r="R351" s="41">
        <f>SUM(R346+R347)*0.02</f>
        <v>6300</v>
      </c>
      <c r="S351" s="41"/>
      <c r="T351" s="41">
        <f>SUM(T346+T347)*0.02</f>
        <v>6483.32</v>
      </c>
      <c r="U351" s="41"/>
    </row>
    <row r="352" spans="1:21" ht="12.75">
      <c r="A352" s="3"/>
      <c r="B352" s="4">
        <v>241</v>
      </c>
      <c r="C352" s="4">
        <v>2830</v>
      </c>
      <c r="D352" s="105" t="s">
        <v>164</v>
      </c>
      <c r="E352" s="6" t="s">
        <v>17</v>
      </c>
      <c r="F352" s="41">
        <f>SUM(F346+F348)*0.0765</f>
        <v>12232.35</v>
      </c>
      <c r="G352" s="41">
        <f>(G346+G347)*0.0765</f>
        <v>-1424.0475</v>
      </c>
      <c r="H352" s="41">
        <f t="shared" si="28"/>
        <v>10808.3025</v>
      </c>
      <c r="I352" s="41">
        <f>(I347+I348)*0.0765</f>
        <v>1944.8595</v>
      </c>
      <c r="J352" s="41">
        <f>SUM(H352:I352)</f>
        <v>12753.162</v>
      </c>
      <c r="K352" s="41">
        <f>(K346+K347+K348)*0.0765</f>
        <v>20180.7</v>
      </c>
      <c r="N352" s="41">
        <f>(N346+N347+N348)*0.0765</f>
        <v>20962.071</v>
      </c>
      <c r="O352" s="41"/>
      <c r="P352" s="41">
        <f>(P346+P347+P348)*0.0765</f>
        <v>21344.571</v>
      </c>
      <c r="Q352" s="41"/>
      <c r="R352" s="41">
        <f>(R346+R347+R348)*0.0765</f>
        <v>32887.35</v>
      </c>
      <c r="S352" s="41"/>
      <c r="T352" s="41">
        <f>(T346+T347+T348)*0.0765</f>
        <v>34361.199</v>
      </c>
      <c r="U352" s="41"/>
    </row>
    <row r="353" spans="1:21" ht="12.75">
      <c r="A353" s="3"/>
      <c r="B353" s="4">
        <v>241</v>
      </c>
      <c r="C353" s="4">
        <v>2840</v>
      </c>
      <c r="D353" s="105" t="s">
        <v>164</v>
      </c>
      <c r="E353" s="6" t="s">
        <v>18</v>
      </c>
      <c r="F353" s="41">
        <f>SUM(F346:F348)*0.0055</f>
        <v>1291.9499999999998</v>
      </c>
      <c r="G353" s="41">
        <f>(G346+G347)*0.0055</f>
        <v>-102.3825</v>
      </c>
      <c r="H353" s="41">
        <f t="shared" si="28"/>
        <v>1189.5674999999999</v>
      </c>
      <c r="I353" s="41">
        <f>(I347+I348)*0.0055</f>
        <v>139.82649999999998</v>
      </c>
      <c r="J353" s="41">
        <f>SUM(H353:I353)</f>
        <v>1329.3939999999998</v>
      </c>
      <c r="K353" s="41">
        <f>(K346+K347+K348)*0.0055</f>
        <v>1450.8999999999999</v>
      </c>
      <c r="N353" s="41">
        <f>(N346+N347+N348)*0.0055</f>
        <v>1507.077</v>
      </c>
      <c r="O353" s="41"/>
      <c r="P353" s="41">
        <f>(P346+P347+P348)*0.0055</f>
        <v>1534.577</v>
      </c>
      <c r="Q353" s="41"/>
      <c r="R353" s="41">
        <f>(R346+R347+R348)*0.0055</f>
        <v>2364.45</v>
      </c>
      <c r="S353" s="41"/>
      <c r="T353" s="41">
        <f>(T346+T347+T348)*0.0055</f>
        <v>2470.413</v>
      </c>
      <c r="U353" s="41"/>
    </row>
    <row r="354" spans="1:21" ht="12" customHeight="1">
      <c r="A354" s="3"/>
      <c r="B354" s="4">
        <v>241</v>
      </c>
      <c r="C354" s="4">
        <v>2850</v>
      </c>
      <c r="D354" s="105" t="s">
        <v>164</v>
      </c>
      <c r="E354" s="6" t="s">
        <v>19</v>
      </c>
      <c r="F354" s="41">
        <v>3980</v>
      </c>
      <c r="G354" s="41"/>
      <c r="H354" s="41">
        <f t="shared" si="28"/>
        <v>3980</v>
      </c>
      <c r="I354" s="41">
        <v>-2000</v>
      </c>
      <c r="J354" s="41">
        <f>SUM(H354:I354)</f>
        <v>1980</v>
      </c>
      <c r="K354" s="41">
        <f>9500*5*0.0573</f>
        <v>2721.75</v>
      </c>
      <c r="N354" s="41">
        <f>9500*5*0.0573</f>
        <v>2721.75</v>
      </c>
      <c r="O354" s="41"/>
      <c r="P354" s="41">
        <f>9500*5*0.0573</f>
        <v>2721.75</v>
      </c>
      <c r="Q354" s="41"/>
      <c r="R354" s="41">
        <f>9500*7*0.0815</f>
        <v>5419.75</v>
      </c>
      <c r="S354" s="41"/>
      <c r="T354" s="41">
        <f>9500*7*0.0815</f>
        <v>5419.75</v>
      </c>
      <c r="U354" s="41"/>
    </row>
    <row r="355" spans="1:21" ht="12.75" hidden="1">
      <c r="A355" s="3"/>
      <c r="B355" s="4">
        <v>241</v>
      </c>
      <c r="C355" s="4">
        <v>3140</v>
      </c>
      <c r="D355" s="105" t="s">
        <v>164</v>
      </c>
      <c r="E355" s="6" t="s">
        <v>225</v>
      </c>
      <c r="F355" s="41"/>
      <c r="G355" s="41"/>
      <c r="H355" s="41"/>
      <c r="I355" s="41">
        <v>6000</v>
      </c>
      <c r="J355" s="41">
        <f>SUM(H355:I355)</f>
        <v>6000</v>
      </c>
      <c r="K355" s="41"/>
      <c r="N355" s="41"/>
      <c r="O355" s="41"/>
      <c r="P355" s="41"/>
      <c r="Q355" s="41"/>
      <c r="R355" s="41"/>
      <c r="S355" s="41"/>
      <c r="T355" s="41"/>
      <c r="U355" s="41"/>
    </row>
    <row r="356" spans="1:21" ht="12.75">
      <c r="A356" s="3"/>
      <c r="B356" s="4">
        <v>241</v>
      </c>
      <c r="C356" s="4">
        <v>3220</v>
      </c>
      <c r="D356" s="105" t="s">
        <v>164</v>
      </c>
      <c r="E356" s="6" t="s">
        <v>20</v>
      </c>
      <c r="F356" s="41"/>
      <c r="G356" s="41"/>
      <c r="H356" s="41"/>
      <c r="I356" s="41">
        <v>148</v>
      </c>
      <c r="J356" s="41">
        <f>SUM(H356:I356)</f>
        <v>148</v>
      </c>
      <c r="K356" s="41">
        <v>1000</v>
      </c>
      <c r="N356" s="41">
        <v>1000</v>
      </c>
      <c r="O356" s="41"/>
      <c r="P356" s="41">
        <v>1000</v>
      </c>
      <c r="Q356" s="41"/>
      <c r="R356" s="41">
        <v>1000</v>
      </c>
      <c r="S356" s="41"/>
      <c r="T356" s="41">
        <v>1000</v>
      </c>
      <c r="U356" s="41"/>
    </row>
    <row r="357" spans="1:10" ht="12.75" hidden="1">
      <c r="A357" s="3"/>
      <c r="B357" s="4">
        <v>241</v>
      </c>
      <c r="C357" s="4">
        <v>3220</v>
      </c>
      <c r="D357" s="105" t="s">
        <v>169</v>
      </c>
      <c r="E357" s="6" t="s">
        <v>177</v>
      </c>
      <c r="F357" s="41">
        <v>5000</v>
      </c>
      <c r="G357" s="41"/>
      <c r="H357" s="41">
        <f>F357+G357</f>
        <v>5000</v>
      </c>
      <c r="I357" s="41">
        <v>-5000</v>
      </c>
      <c r="J357" s="41">
        <f aca="true" t="shared" si="29" ref="J357:K363">SUM(H357:I357)</f>
        <v>0</v>
      </c>
    </row>
    <row r="358" spans="1:21" ht="12.75">
      <c r="A358" s="3"/>
      <c r="B358" s="4">
        <v>241</v>
      </c>
      <c r="C358" s="4">
        <v>3430</v>
      </c>
      <c r="D358" s="105" t="s">
        <v>164</v>
      </c>
      <c r="E358" s="6" t="s">
        <v>71</v>
      </c>
      <c r="F358" s="41">
        <v>5000</v>
      </c>
      <c r="G358" s="41"/>
      <c r="H358" s="41">
        <f>F358+G358</f>
        <v>5000</v>
      </c>
      <c r="I358" s="41"/>
      <c r="J358" s="41">
        <f t="shared" si="29"/>
        <v>5000</v>
      </c>
      <c r="K358" s="41">
        <f t="shared" si="29"/>
        <v>5000</v>
      </c>
      <c r="N358" s="41">
        <f>SUM(K358:L358)</f>
        <v>5000</v>
      </c>
      <c r="O358" s="41"/>
      <c r="P358" s="41">
        <f>SUM(M358:N358)</f>
        <v>5000</v>
      </c>
      <c r="Q358" s="41"/>
      <c r="R358" s="41">
        <v>1000</v>
      </c>
      <c r="S358" s="41"/>
      <c r="T358" s="41">
        <v>1000</v>
      </c>
      <c r="U358" s="41"/>
    </row>
    <row r="359" spans="1:21" ht="12.75">
      <c r="A359" s="3"/>
      <c r="B359" s="4">
        <v>241</v>
      </c>
      <c r="C359" s="4">
        <v>3610</v>
      </c>
      <c r="D359" s="105" t="s">
        <v>164</v>
      </c>
      <c r="E359" s="6" t="s">
        <v>21</v>
      </c>
      <c r="F359" s="41">
        <v>3000</v>
      </c>
      <c r="G359" s="41"/>
      <c r="H359" s="41">
        <f>F359+G359</f>
        <v>3000</v>
      </c>
      <c r="I359" s="41"/>
      <c r="J359" s="41">
        <f t="shared" si="29"/>
        <v>3000</v>
      </c>
      <c r="K359" s="41">
        <f t="shared" si="29"/>
        <v>3000</v>
      </c>
      <c r="N359" s="41">
        <f>SUM(K359:L359)</f>
        <v>3000</v>
      </c>
      <c r="O359" s="41"/>
      <c r="P359" s="41">
        <f>SUM(M359:N359)</f>
        <v>3000</v>
      </c>
      <c r="Q359" s="41"/>
      <c r="R359" s="41">
        <v>1000</v>
      </c>
      <c r="S359" s="41"/>
      <c r="T359" s="41">
        <v>1000</v>
      </c>
      <c r="U359" s="41"/>
    </row>
    <row r="360" spans="1:21" ht="14.25" customHeight="1">
      <c r="A360" s="3"/>
      <c r="B360" s="4">
        <v>241</v>
      </c>
      <c r="C360" s="4">
        <v>5910</v>
      </c>
      <c r="D360" s="105" t="s">
        <v>164</v>
      </c>
      <c r="E360" s="6" t="s">
        <v>35</v>
      </c>
      <c r="F360" s="41">
        <v>5000</v>
      </c>
      <c r="G360" s="41"/>
      <c r="H360" s="41">
        <f>F360+G360</f>
        <v>5000</v>
      </c>
      <c r="I360" s="41"/>
      <c r="J360" s="41">
        <f t="shared" si="29"/>
        <v>5000</v>
      </c>
      <c r="K360" s="41">
        <v>2000</v>
      </c>
      <c r="N360" s="41">
        <v>2000</v>
      </c>
      <c r="O360" s="41"/>
      <c r="P360" s="41">
        <v>2000</v>
      </c>
      <c r="Q360" s="41"/>
      <c r="R360" s="41">
        <v>1000</v>
      </c>
      <c r="S360" s="41"/>
      <c r="T360" s="41">
        <v>1000</v>
      </c>
      <c r="U360" s="41"/>
    </row>
    <row r="361" spans="1:20" ht="0.75" customHeight="1" hidden="1">
      <c r="A361" s="3"/>
      <c r="B361" s="4">
        <v>241</v>
      </c>
      <c r="C361" s="4">
        <v>5990</v>
      </c>
      <c r="D361" s="105" t="s">
        <v>169</v>
      </c>
      <c r="E361" s="6" t="s">
        <v>178</v>
      </c>
      <c r="F361" s="41">
        <v>1410</v>
      </c>
      <c r="G361" s="41"/>
      <c r="H361" s="41">
        <f>F361+G361</f>
        <v>1410</v>
      </c>
      <c r="I361" s="41">
        <v>-1410</v>
      </c>
      <c r="J361" s="41">
        <f t="shared" si="29"/>
        <v>0</v>
      </c>
      <c r="K361">
        <v>0</v>
      </c>
      <c r="N361">
        <v>0</v>
      </c>
      <c r="P361">
        <v>0</v>
      </c>
      <c r="R361">
        <v>0</v>
      </c>
      <c r="T361">
        <v>0</v>
      </c>
    </row>
    <row r="362" spans="1:21" ht="12.75">
      <c r="A362" s="3"/>
      <c r="B362" s="4">
        <v>241</v>
      </c>
      <c r="C362" s="4">
        <v>5990</v>
      </c>
      <c r="D362" s="105" t="s">
        <v>164</v>
      </c>
      <c r="E362" s="6" t="s">
        <v>235</v>
      </c>
      <c r="F362" s="41"/>
      <c r="G362" s="41"/>
      <c r="H362" s="41"/>
      <c r="I362" s="41">
        <v>3165</v>
      </c>
      <c r="J362" s="41">
        <f t="shared" si="29"/>
        <v>3165</v>
      </c>
      <c r="K362" s="41">
        <v>10000</v>
      </c>
      <c r="N362" s="41">
        <v>10000</v>
      </c>
      <c r="O362" s="41"/>
      <c r="P362" s="41">
        <v>11000</v>
      </c>
      <c r="Q362" s="41"/>
      <c r="R362" s="41">
        <v>14000</v>
      </c>
      <c r="S362" s="41"/>
      <c r="T362" s="41">
        <v>15000</v>
      </c>
      <c r="U362" s="41"/>
    </row>
    <row r="363" spans="1:21" ht="12.75">
      <c r="A363" s="3"/>
      <c r="B363" s="4">
        <v>241</v>
      </c>
      <c r="C363" s="4">
        <v>6410</v>
      </c>
      <c r="D363" s="105" t="s">
        <v>164</v>
      </c>
      <c r="E363" s="6" t="s">
        <v>25</v>
      </c>
      <c r="F363" s="41">
        <v>1300</v>
      </c>
      <c r="G363" s="41"/>
      <c r="H363" s="41">
        <f>F363+G363</f>
        <v>1300</v>
      </c>
      <c r="I363" s="41"/>
      <c r="J363" s="41">
        <f t="shared" si="29"/>
        <v>1300</v>
      </c>
      <c r="K363" s="41"/>
      <c r="N363" s="41"/>
      <c r="O363" s="41"/>
      <c r="P363" s="41"/>
      <c r="Q363" s="41"/>
      <c r="R363" s="41"/>
      <c r="S363" s="41"/>
      <c r="T363" s="41"/>
      <c r="U363" s="41"/>
    </row>
    <row r="364" spans="1:21" ht="12.75">
      <c r="A364" s="3"/>
      <c r="B364" s="4">
        <v>241</v>
      </c>
      <c r="C364" s="4">
        <v>7910</v>
      </c>
      <c r="D364" s="105" t="s">
        <v>164</v>
      </c>
      <c r="E364" s="6" t="s">
        <v>0</v>
      </c>
      <c r="F364" s="41">
        <v>5000</v>
      </c>
      <c r="G364" s="41"/>
      <c r="H364" s="41">
        <f>F364+G364</f>
        <v>5000</v>
      </c>
      <c r="I364" s="41">
        <v>0</v>
      </c>
      <c r="J364" s="41">
        <f>SUM(H364:I364)</f>
        <v>5000</v>
      </c>
      <c r="K364" s="41">
        <f>SUM(I364:J364)</f>
        <v>5000</v>
      </c>
      <c r="N364" s="41">
        <f>SUM(K364:L364)</f>
        <v>5000</v>
      </c>
      <c r="O364" s="41"/>
      <c r="P364" s="41">
        <v>5500</v>
      </c>
      <c r="Q364" s="41"/>
      <c r="R364" s="41">
        <v>8000</v>
      </c>
      <c r="S364" s="41"/>
      <c r="T364" s="41">
        <v>8500</v>
      </c>
      <c r="U364" s="41"/>
    </row>
    <row r="365" spans="1:21" ht="12.75">
      <c r="A365" s="145" t="s">
        <v>147</v>
      </c>
      <c r="B365" s="146"/>
      <c r="C365" s="146"/>
      <c r="D365" s="146"/>
      <c r="E365" s="147"/>
      <c r="F365" s="55">
        <f aca="true" t="shared" si="30" ref="F365:K365">SUM(F346:F364)</f>
        <v>313217.69</v>
      </c>
      <c r="G365" s="55">
        <f t="shared" si="30"/>
        <v>-21258.33</v>
      </c>
      <c r="H365" s="55">
        <f t="shared" si="30"/>
        <v>291959.36</v>
      </c>
      <c r="I365" s="55">
        <f t="shared" si="30"/>
        <v>24845.036</v>
      </c>
      <c r="J365" s="55">
        <f t="shared" si="30"/>
        <v>316804.396</v>
      </c>
      <c r="K365" s="55">
        <f t="shared" si="30"/>
        <v>359603.35000000003</v>
      </c>
      <c r="N365" s="55">
        <f>SUM(N346:N364)</f>
        <v>372867.898</v>
      </c>
      <c r="O365" s="134"/>
      <c r="P365" s="55">
        <f>SUM(P346:P364)</f>
        <v>382027.898</v>
      </c>
      <c r="Q365" s="134"/>
      <c r="R365" s="55">
        <f>SUM(R346:R364)</f>
        <v>553996.3999999999</v>
      </c>
      <c r="S365" s="134"/>
      <c r="T365" s="55">
        <f>SUM(T346:T364)</f>
        <v>579037.8145</v>
      </c>
      <c r="U365" s="134"/>
    </row>
    <row r="366" spans="1:10" ht="12.75">
      <c r="A366" s="32"/>
      <c r="B366" s="33"/>
      <c r="C366" s="33"/>
      <c r="D366" s="33"/>
      <c r="E366" s="34"/>
      <c r="F366" s="41"/>
      <c r="G366" s="37"/>
      <c r="I366" s="37"/>
      <c r="J366" s="37"/>
    </row>
    <row r="367" spans="1:10" ht="12.75">
      <c r="A367" s="151" t="s">
        <v>125</v>
      </c>
      <c r="B367" s="152" t="s">
        <v>39</v>
      </c>
      <c r="C367" s="152"/>
      <c r="D367" s="152"/>
      <c r="E367" s="159"/>
      <c r="F367" s="41"/>
      <c r="G367" s="37"/>
      <c r="I367" s="37"/>
      <c r="J367" s="37"/>
    </row>
    <row r="368" spans="1:21" ht="12.75">
      <c r="A368" s="20"/>
      <c r="B368" s="4">
        <v>252</v>
      </c>
      <c r="C368" s="4">
        <v>1310</v>
      </c>
      <c r="D368" s="105" t="s">
        <v>164</v>
      </c>
      <c r="E368" s="6" t="s">
        <v>57</v>
      </c>
      <c r="F368" s="41">
        <v>50000</v>
      </c>
      <c r="G368" s="41"/>
      <c r="H368" s="41">
        <f aca="true" t="shared" si="31" ref="H368:H382">F368+G368</f>
        <v>50000</v>
      </c>
      <c r="I368" s="37"/>
      <c r="J368" s="41">
        <f aca="true" t="shared" si="32" ref="J368:K382">SUM(H368:I368)</f>
        <v>50000</v>
      </c>
      <c r="K368" s="41">
        <v>50000</v>
      </c>
      <c r="N368" s="41">
        <v>51500</v>
      </c>
      <c r="O368" s="41"/>
      <c r="P368" s="41">
        <v>53045</v>
      </c>
      <c r="Q368" s="41"/>
      <c r="R368" s="41">
        <v>54636</v>
      </c>
      <c r="S368" s="41"/>
      <c r="T368" s="41">
        <v>60000</v>
      </c>
      <c r="U368" s="41"/>
    </row>
    <row r="369" spans="1:21" ht="12.75">
      <c r="A369" s="20"/>
      <c r="B369" s="4">
        <v>252</v>
      </c>
      <c r="C369" s="4">
        <v>1620</v>
      </c>
      <c r="D369" s="105" t="s">
        <v>164</v>
      </c>
      <c r="E369" s="6" t="s">
        <v>2</v>
      </c>
      <c r="F369" s="41">
        <v>31000</v>
      </c>
      <c r="G369" s="41"/>
      <c r="H369" s="41">
        <f t="shared" si="31"/>
        <v>31000</v>
      </c>
      <c r="I369" s="37"/>
      <c r="J369" s="41">
        <f t="shared" si="32"/>
        <v>31000</v>
      </c>
      <c r="K369" s="41"/>
      <c r="N369" s="41"/>
      <c r="O369" s="41"/>
      <c r="P369" s="41"/>
      <c r="Q369" s="41"/>
      <c r="R369" s="41"/>
      <c r="S369" s="41"/>
      <c r="T369" s="41"/>
      <c r="U369" s="41"/>
    </row>
    <row r="370" spans="1:21" ht="12.75">
      <c r="A370" s="20"/>
      <c r="B370" s="4">
        <v>252</v>
      </c>
      <c r="C370" s="4">
        <v>2110</v>
      </c>
      <c r="D370" s="105" t="s">
        <v>164</v>
      </c>
      <c r="E370" s="6" t="s">
        <v>64</v>
      </c>
      <c r="F370" s="41">
        <v>250</v>
      </c>
      <c r="G370" s="41"/>
      <c r="H370" s="41">
        <f t="shared" si="31"/>
        <v>250</v>
      </c>
      <c r="I370" s="37"/>
      <c r="J370" s="41">
        <f t="shared" si="32"/>
        <v>250</v>
      </c>
      <c r="K370" s="41">
        <f t="shared" si="32"/>
        <v>250</v>
      </c>
      <c r="N370" s="41">
        <f>SUM(K370:L370)</f>
        <v>250</v>
      </c>
      <c r="O370" s="41"/>
      <c r="P370" s="41">
        <f>SUM(M370:N370)</f>
        <v>250</v>
      </c>
      <c r="Q370" s="41"/>
      <c r="R370" s="41">
        <f>SUM(O370:P370)</f>
        <v>250</v>
      </c>
      <c r="S370" s="41"/>
      <c r="T370" s="41">
        <f>SUM(Q370:R370)</f>
        <v>250</v>
      </c>
      <c r="U370" s="41"/>
    </row>
    <row r="371" spans="1:21" ht="12.75">
      <c r="A371" s="20"/>
      <c r="B371" s="4">
        <v>252</v>
      </c>
      <c r="C371" s="4">
        <v>2130</v>
      </c>
      <c r="D371" s="105" t="s">
        <v>164</v>
      </c>
      <c r="E371" s="6" t="s">
        <v>15</v>
      </c>
      <c r="F371" s="41">
        <v>8000</v>
      </c>
      <c r="G371" s="41"/>
      <c r="H371" s="41">
        <f t="shared" si="31"/>
        <v>8000</v>
      </c>
      <c r="I371" s="37"/>
      <c r="J371" s="41">
        <f t="shared" si="32"/>
        <v>8000</v>
      </c>
      <c r="K371" s="41">
        <v>4000</v>
      </c>
      <c r="N371" s="41">
        <v>4200</v>
      </c>
      <c r="O371" s="41"/>
      <c r="P371" s="41">
        <v>4326</v>
      </c>
      <c r="Q371" s="41"/>
      <c r="R371" s="41">
        <v>4542</v>
      </c>
      <c r="S371" s="41"/>
      <c r="T371" s="41">
        <v>4769</v>
      </c>
      <c r="U371" s="41"/>
    </row>
    <row r="372" spans="1:21" ht="12.75">
      <c r="A372" s="20"/>
      <c r="B372" s="4">
        <v>252</v>
      </c>
      <c r="C372" s="4">
        <v>2820</v>
      </c>
      <c r="D372" s="105" t="s">
        <v>164</v>
      </c>
      <c r="E372" s="6" t="s">
        <v>16</v>
      </c>
      <c r="F372" s="41">
        <f>SUM(F369*0.06)+(F368*0.2351)</f>
        <v>13615</v>
      </c>
      <c r="G372" s="41"/>
      <c r="H372" s="41">
        <f t="shared" si="31"/>
        <v>13615</v>
      </c>
      <c r="I372" s="41"/>
      <c r="J372" s="41">
        <f t="shared" si="32"/>
        <v>13615</v>
      </c>
      <c r="K372" s="41">
        <v>0</v>
      </c>
      <c r="N372" s="41">
        <v>0</v>
      </c>
      <c r="O372" s="41"/>
      <c r="P372" s="41">
        <v>0</v>
      </c>
      <c r="Q372" s="41"/>
      <c r="R372" s="41">
        <f>R368*0.03</f>
        <v>1639.08</v>
      </c>
      <c r="S372" s="41"/>
      <c r="T372" s="41">
        <f>T368*0.03</f>
        <v>1800</v>
      </c>
      <c r="U372" s="41"/>
    </row>
    <row r="373" spans="1:21" ht="12.75">
      <c r="A373" s="20"/>
      <c r="B373" s="4">
        <v>252</v>
      </c>
      <c r="C373" s="4">
        <v>2830</v>
      </c>
      <c r="D373" s="105" t="s">
        <v>164</v>
      </c>
      <c r="E373" s="6" t="s">
        <v>17</v>
      </c>
      <c r="F373" s="41">
        <f>SUM(F368+F369)*0.0765</f>
        <v>6196.5</v>
      </c>
      <c r="G373" s="41"/>
      <c r="H373" s="41">
        <f t="shared" si="31"/>
        <v>6196.5</v>
      </c>
      <c r="I373" s="41"/>
      <c r="J373" s="41">
        <f t="shared" si="32"/>
        <v>6196.5</v>
      </c>
      <c r="K373" s="41">
        <f>K368*0.0765</f>
        <v>3825</v>
      </c>
      <c r="N373" s="41">
        <f>N368*0.0765</f>
        <v>3939.75</v>
      </c>
      <c r="O373" s="41"/>
      <c r="P373" s="41">
        <f>P368*0.0765</f>
        <v>4057.9425</v>
      </c>
      <c r="Q373" s="41"/>
      <c r="R373" s="41">
        <f>R368*0.0765</f>
        <v>4179.6539999999995</v>
      </c>
      <c r="S373" s="41"/>
      <c r="T373" s="41">
        <f>T368*0.0765</f>
        <v>4590</v>
      </c>
      <c r="U373" s="41"/>
    </row>
    <row r="374" spans="1:21" ht="12.75">
      <c r="A374" s="20"/>
      <c r="B374" s="4">
        <v>252</v>
      </c>
      <c r="C374" s="4">
        <v>2840</v>
      </c>
      <c r="D374" s="105" t="s">
        <v>164</v>
      </c>
      <c r="E374" s="6" t="s">
        <v>18</v>
      </c>
      <c r="F374" s="41">
        <f>SUM(F368+F369)*0.0055</f>
        <v>445.5</v>
      </c>
      <c r="G374" s="41"/>
      <c r="H374" s="41">
        <f t="shared" si="31"/>
        <v>445.5</v>
      </c>
      <c r="I374" s="41"/>
      <c r="J374" s="41">
        <f t="shared" si="32"/>
        <v>445.5</v>
      </c>
      <c r="K374" s="41">
        <f>K368*0.0055</f>
        <v>275</v>
      </c>
      <c r="N374" s="41">
        <f>N368*0.0055</f>
        <v>283.25</v>
      </c>
      <c r="O374" s="41"/>
      <c r="P374" s="41">
        <f>P368*0.0055</f>
        <v>291.7475</v>
      </c>
      <c r="Q374" s="41"/>
      <c r="R374" s="41">
        <f>R368*0.0055</f>
        <v>300.498</v>
      </c>
      <c r="S374" s="41"/>
      <c r="T374" s="41">
        <f>T368*0.0055</f>
        <v>330</v>
      </c>
      <c r="U374" s="41"/>
    </row>
    <row r="375" spans="1:21" ht="12.75">
      <c r="A375" s="20"/>
      <c r="B375" s="4">
        <v>252</v>
      </c>
      <c r="C375" s="4">
        <v>2850</v>
      </c>
      <c r="D375" s="105" t="s">
        <v>164</v>
      </c>
      <c r="E375" s="6" t="s">
        <v>19</v>
      </c>
      <c r="F375" s="41">
        <v>1990</v>
      </c>
      <c r="G375" s="41"/>
      <c r="H375" s="41">
        <f t="shared" si="31"/>
        <v>1990</v>
      </c>
      <c r="I375" s="41">
        <v>-1000</v>
      </c>
      <c r="J375" s="41">
        <f t="shared" si="32"/>
        <v>990</v>
      </c>
      <c r="K375" s="41">
        <f>9500*0.0573</f>
        <v>544.35</v>
      </c>
      <c r="N375" s="41">
        <f>9500*0.0573</f>
        <v>544.35</v>
      </c>
      <c r="O375" s="41"/>
      <c r="P375" s="41">
        <f>9500*0.0573</f>
        <v>544.35</v>
      </c>
      <c r="Q375" s="41"/>
      <c r="R375" s="41">
        <f>9500*0.0815</f>
        <v>774.25</v>
      </c>
      <c r="S375" s="41"/>
      <c r="T375" s="41">
        <f>9500*0.0815</f>
        <v>774.25</v>
      </c>
      <c r="U375" s="41"/>
    </row>
    <row r="376" spans="1:21" ht="12.75">
      <c r="A376" s="20"/>
      <c r="B376" s="4">
        <v>252</v>
      </c>
      <c r="C376" s="4">
        <v>3150</v>
      </c>
      <c r="D376" s="105" t="s">
        <v>164</v>
      </c>
      <c r="E376" s="6" t="s">
        <v>34</v>
      </c>
      <c r="F376" s="41">
        <v>98000</v>
      </c>
      <c r="G376" s="41"/>
      <c r="H376" s="41">
        <f t="shared" si="31"/>
        <v>98000</v>
      </c>
      <c r="I376" s="41"/>
      <c r="J376" s="41">
        <f t="shared" si="32"/>
        <v>98000</v>
      </c>
      <c r="K376" s="41">
        <v>127200</v>
      </c>
      <c r="N376" s="41">
        <v>127200</v>
      </c>
      <c r="O376" s="41"/>
      <c r="P376" s="41">
        <v>124000</v>
      </c>
      <c r="Q376" s="41"/>
      <c r="R376" s="41">
        <v>110000</v>
      </c>
      <c r="S376" s="41"/>
      <c r="T376" s="41">
        <v>90000</v>
      </c>
      <c r="U376" s="41"/>
    </row>
    <row r="377" spans="1:21" ht="12.75">
      <c r="A377" s="20"/>
      <c r="B377" s="4">
        <v>252</v>
      </c>
      <c r="C377" s="4">
        <v>3160</v>
      </c>
      <c r="D377" s="105" t="s">
        <v>164</v>
      </c>
      <c r="E377" s="8" t="s">
        <v>230</v>
      </c>
      <c r="F377" s="41">
        <v>48000</v>
      </c>
      <c r="G377" s="41">
        <v>-5000</v>
      </c>
      <c r="H377" s="41">
        <f t="shared" si="31"/>
        <v>43000</v>
      </c>
      <c r="I377" s="41">
        <v>-10000</v>
      </c>
      <c r="J377" s="41">
        <f t="shared" si="32"/>
        <v>33000</v>
      </c>
      <c r="K377" s="41">
        <v>20000</v>
      </c>
      <c r="N377" s="41">
        <v>20600</v>
      </c>
      <c r="O377" s="41"/>
      <c r="P377" s="41">
        <v>21218</v>
      </c>
      <c r="Q377" s="41"/>
      <c r="R377" s="41">
        <v>22000</v>
      </c>
      <c r="S377" s="41"/>
      <c r="T377" s="41">
        <v>25000</v>
      </c>
      <c r="U377" s="41"/>
    </row>
    <row r="378" spans="1:10" ht="12.75">
      <c r="A378" s="20"/>
      <c r="B378" s="4">
        <v>252</v>
      </c>
      <c r="C378" s="4">
        <v>3190</v>
      </c>
      <c r="D378" s="105" t="s">
        <v>164</v>
      </c>
      <c r="E378" s="8" t="s">
        <v>69</v>
      </c>
      <c r="F378" s="41">
        <v>0</v>
      </c>
      <c r="G378" s="41"/>
      <c r="H378" s="41">
        <f t="shared" si="31"/>
        <v>0</v>
      </c>
      <c r="I378" s="41"/>
      <c r="J378" s="41">
        <f t="shared" si="32"/>
        <v>0</v>
      </c>
    </row>
    <row r="379" spans="1:21" ht="12.75">
      <c r="A379" s="20"/>
      <c r="B379" s="4">
        <v>252</v>
      </c>
      <c r="C379" s="4">
        <v>5910</v>
      </c>
      <c r="D379" s="105" t="s">
        <v>164</v>
      </c>
      <c r="E379" s="8" t="s">
        <v>35</v>
      </c>
      <c r="F379" s="41">
        <v>1000</v>
      </c>
      <c r="G379" s="41"/>
      <c r="H379" s="41">
        <f t="shared" si="31"/>
        <v>1000</v>
      </c>
      <c r="I379" s="41"/>
      <c r="J379" s="41">
        <f t="shared" si="32"/>
        <v>1000</v>
      </c>
      <c r="K379" s="41">
        <f t="shared" si="32"/>
        <v>1000</v>
      </c>
      <c r="N379" s="41">
        <f>SUM(K379:L379)</f>
        <v>1000</v>
      </c>
      <c r="O379" s="41"/>
      <c r="P379" s="41">
        <f>SUM(M379:N379)</f>
        <v>1000</v>
      </c>
      <c r="Q379" s="41"/>
      <c r="R379" s="41">
        <f>SUM(O379:P379)</f>
        <v>1000</v>
      </c>
      <c r="S379" s="41"/>
      <c r="T379" s="41">
        <f>SUM(Q379:R379)</f>
        <v>1000</v>
      </c>
      <c r="U379" s="41"/>
    </row>
    <row r="380" spans="1:21" ht="12.75">
      <c r="A380" s="2"/>
      <c r="B380" s="4">
        <v>252</v>
      </c>
      <c r="C380" s="4">
        <v>7910</v>
      </c>
      <c r="D380" s="105" t="s">
        <v>164</v>
      </c>
      <c r="E380" s="8" t="s">
        <v>0</v>
      </c>
      <c r="F380" s="41">
        <v>5000</v>
      </c>
      <c r="G380" s="41"/>
      <c r="H380" s="41">
        <f t="shared" si="31"/>
        <v>5000</v>
      </c>
      <c r="I380" s="41"/>
      <c r="J380" s="41">
        <f t="shared" si="32"/>
        <v>5000</v>
      </c>
      <c r="K380" s="41">
        <v>2000</v>
      </c>
      <c r="N380" s="41">
        <v>2000</v>
      </c>
      <c r="O380" s="41"/>
      <c r="P380" s="41">
        <v>2000</v>
      </c>
      <c r="Q380" s="41"/>
      <c r="R380" s="41">
        <v>2000</v>
      </c>
      <c r="S380" s="41"/>
      <c r="T380" s="41">
        <v>2000</v>
      </c>
      <c r="U380" s="41"/>
    </row>
    <row r="381" spans="1:21" ht="12.75">
      <c r="A381" s="6"/>
      <c r="B381" s="4">
        <v>257</v>
      </c>
      <c r="C381" s="4">
        <v>4220</v>
      </c>
      <c r="D381" s="105" t="s">
        <v>164</v>
      </c>
      <c r="E381" s="8" t="s">
        <v>203</v>
      </c>
      <c r="F381" s="41">
        <v>158000</v>
      </c>
      <c r="G381" s="41"/>
      <c r="H381" s="41">
        <f t="shared" si="31"/>
        <v>158000</v>
      </c>
      <c r="I381" s="41">
        <v>-22500</v>
      </c>
      <c r="J381" s="41">
        <f t="shared" si="32"/>
        <v>135500</v>
      </c>
      <c r="K381" s="41">
        <v>7500</v>
      </c>
      <c r="N381" s="41">
        <v>10000</v>
      </c>
      <c r="O381" s="41"/>
      <c r="P381" s="41">
        <v>20000</v>
      </c>
      <c r="Q381" s="41"/>
      <c r="R381" s="41">
        <v>19000</v>
      </c>
      <c r="S381" s="41"/>
      <c r="T381" s="41">
        <v>18500</v>
      </c>
      <c r="U381" s="41"/>
    </row>
    <row r="382" spans="1:21" ht="12.75">
      <c r="A382" s="3"/>
      <c r="B382" s="4">
        <v>259</v>
      </c>
      <c r="C382" s="4">
        <v>7210</v>
      </c>
      <c r="D382" s="105" t="s">
        <v>164</v>
      </c>
      <c r="E382" s="6" t="s">
        <v>209</v>
      </c>
      <c r="F382" s="41">
        <v>50000</v>
      </c>
      <c r="G382" s="41">
        <v>-20162</v>
      </c>
      <c r="H382" s="41">
        <f t="shared" si="31"/>
        <v>29838</v>
      </c>
      <c r="I382" s="41"/>
      <c r="J382" s="41">
        <f t="shared" si="32"/>
        <v>29838</v>
      </c>
      <c r="K382" s="41">
        <v>29065</v>
      </c>
      <c r="N382" s="41">
        <v>35065</v>
      </c>
      <c r="O382" s="41"/>
      <c r="P382" s="41">
        <v>38000</v>
      </c>
      <c r="Q382" s="41"/>
      <c r="R382" s="41">
        <v>14000</v>
      </c>
      <c r="S382" s="41"/>
      <c r="T382" s="41">
        <v>13000</v>
      </c>
      <c r="U382" s="41"/>
    </row>
    <row r="383" spans="1:21" ht="12.75">
      <c r="A383" s="145" t="s">
        <v>146</v>
      </c>
      <c r="B383" s="146"/>
      <c r="C383" s="146"/>
      <c r="D383" s="146"/>
      <c r="E383" s="147"/>
      <c r="F383" s="55">
        <f>SUM(F368:F382)+1</f>
        <v>471498</v>
      </c>
      <c r="G383" s="55">
        <f>SUM(G368:G382)</f>
        <v>-25162</v>
      </c>
      <c r="H383" s="55">
        <f>SUM(H368:H382)+1</f>
        <v>446336</v>
      </c>
      <c r="I383" s="55">
        <f>SUM(I368:I382)</f>
        <v>-33500</v>
      </c>
      <c r="J383" s="55">
        <f>SUM(J368:J382)</f>
        <v>412835</v>
      </c>
      <c r="K383" s="55">
        <f>SUM(K368:K382)</f>
        <v>245659.35</v>
      </c>
      <c r="N383" s="55">
        <f>SUM(N368:N382)</f>
        <v>256582.35</v>
      </c>
      <c r="O383" s="134"/>
      <c r="P383" s="55">
        <f>SUM(P368:P382)</f>
        <v>268733.04</v>
      </c>
      <c r="Q383" s="134"/>
      <c r="R383" s="55">
        <f>SUM(R368:R382)</f>
        <v>234321.48200000002</v>
      </c>
      <c r="S383" s="134"/>
      <c r="T383" s="55">
        <f>SUM(T368:T382)</f>
        <v>222013.25</v>
      </c>
      <c r="U383" s="134"/>
    </row>
    <row r="384" spans="1:10" ht="12.75">
      <c r="A384" s="32"/>
      <c r="B384" s="33"/>
      <c r="C384" s="33"/>
      <c r="D384" s="33"/>
      <c r="E384" s="34"/>
      <c r="F384" s="41"/>
      <c r="G384" s="37"/>
      <c r="I384" s="37"/>
      <c r="J384" s="37"/>
    </row>
    <row r="385" spans="1:10" ht="12.75">
      <c r="A385" s="151" t="s">
        <v>126</v>
      </c>
      <c r="B385" s="152" t="s">
        <v>40</v>
      </c>
      <c r="C385" s="152"/>
      <c r="D385" s="152"/>
      <c r="E385" s="159"/>
      <c r="F385" s="41"/>
      <c r="G385" s="37"/>
      <c r="I385" s="37"/>
      <c r="J385" s="37"/>
    </row>
    <row r="386" spans="1:21" ht="12.75">
      <c r="A386" s="20"/>
      <c r="B386" s="4">
        <v>261</v>
      </c>
      <c r="C386" s="1">
        <v>1690</v>
      </c>
      <c r="D386" s="105" t="s">
        <v>164</v>
      </c>
      <c r="E386" s="2" t="s">
        <v>109</v>
      </c>
      <c r="F386" s="41">
        <v>76000</v>
      </c>
      <c r="G386" s="41">
        <v>-3158</v>
      </c>
      <c r="H386" s="41">
        <f aca="true" t="shared" si="33" ref="H386:H406">F386+G386</f>
        <v>72842</v>
      </c>
      <c r="I386" s="37"/>
      <c r="J386" s="41">
        <f aca="true" t="shared" si="34" ref="J386:J406">SUM(H386:I386)</f>
        <v>72842</v>
      </c>
      <c r="K386" s="41">
        <v>45900</v>
      </c>
      <c r="N386" s="41">
        <v>47277</v>
      </c>
      <c r="O386" s="41"/>
      <c r="P386" s="41">
        <v>47277</v>
      </c>
      <c r="Q386" s="41"/>
      <c r="R386" s="41">
        <v>48695</v>
      </c>
      <c r="S386" s="41"/>
      <c r="T386" s="41">
        <v>48695</v>
      </c>
      <c r="U386" s="41"/>
    </row>
    <row r="387" spans="1:21" ht="12.75">
      <c r="A387" s="20"/>
      <c r="B387" s="4">
        <v>261</v>
      </c>
      <c r="C387" s="4">
        <v>2110</v>
      </c>
      <c r="D387" s="105" t="s">
        <v>164</v>
      </c>
      <c r="E387" s="6" t="s">
        <v>64</v>
      </c>
      <c r="F387" s="41">
        <v>250</v>
      </c>
      <c r="G387" s="41"/>
      <c r="H387" s="41">
        <f t="shared" si="33"/>
        <v>250</v>
      </c>
      <c r="I387" s="37"/>
      <c r="J387" s="41">
        <f t="shared" si="34"/>
        <v>250</v>
      </c>
      <c r="K387" s="41">
        <v>125</v>
      </c>
      <c r="N387" s="41">
        <v>125</v>
      </c>
      <c r="O387" s="41"/>
      <c r="P387" s="41">
        <v>125</v>
      </c>
      <c r="Q387" s="41"/>
      <c r="R387" s="41">
        <v>125</v>
      </c>
      <c r="S387" s="41"/>
      <c r="T387" s="41">
        <v>125</v>
      </c>
      <c r="U387" s="41"/>
    </row>
    <row r="388" spans="1:21" ht="12.75">
      <c r="A388" s="20"/>
      <c r="B388" s="4">
        <v>261</v>
      </c>
      <c r="C388" s="4">
        <v>2130</v>
      </c>
      <c r="D388" s="105" t="s">
        <v>164</v>
      </c>
      <c r="E388" s="6" t="s">
        <v>15</v>
      </c>
      <c r="F388" s="41">
        <v>22000</v>
      </c>
      <c r="G388" s="41"/>
      <c r="H388" s="41">
        <f t="shared" si="33"/>
        <v>22000</v>
      </c>
      <c r="I388" s="37"/>
      <c r="J388" s="41">
        <f t="shared" si="34"/>
        <v>22000</v>
      </c>
      <c r="K388" s="41">
        <v>13042</v>
      </c>
      <c r="N388" s="41">
        <v>13694</v>
      </c>
      <c r="O388" s="41"/>
      <c r="P388" s="41">
        <v>14379</v>
      </c>
      <c r="Q388" s="41"/>
      <c r="R388" s="41">
        <v>15098</v>
      </c>
      <c r="S388" s="41"/>
      <c r="T388" s="41">
        <v>15853</v>
      </c>
      <c r="U388" s="41"/>
    </row>
    <row r="389" spans="1:21" ht="12.75">
      <c r="A389" s="20"/>
      <c r="B389" s="4">
        <v>261</v>
      </c>
      <c r="C389" s="4">
        <v>2820</v>
      </c>
      <c r="D389" s="105" t="s">
        <v>164</v>
      </c>
      <c r="E389" s="6" t="s">
        <v>16</v>
      </c>
      <c r="F389" s="41">
        <f>SUM(F386*0.06)</f>
        <v>4560</v>
      </c>
      <c r="G389" s="41"/>
      <c r="H389" s="41">
        <f t="shared" si="33"/>
        <v>4560</v>
      </c>
      <c r="I389" s="41">
        <f>-H389/2</f>
        <v>-2280</v>
      </c>
      <c r="J389" s="41">
        <f t="shared" si="34"/>
        <v>2280</v>
      </c>
      <c r="K389" s="41">
        <v>0</v>
      </c>
      <c r="N389" s="41">
        <v>0</v>
      </c>
      <c r="O389" s="41"/>
      <c r="P389" s="41">
        <v>0</v>
      </c>
      <c r="Q389" s="41"/>
      <c r="R389" s="41">
        <v>0</v>
      </c>
      <c r="S389" s="41"/>
      <c r="T389" s="41">
        <f>T386*0.02</f>
        <v>973.9</v>
      </c>
      <c r="U389" s="41"/>
    </row>
    <row r="390" spans="1:21" ht="12.75">
      <c r="A390" s="20"/>
      <c r="B390" s="4">
        <v>261</v>
      </c>
      <c r="C390" s="4">
        <v>2830</v>
      </c>
      <c r="D390" s="105" t="s">
        <v>164</v>
      </c>
      <c r="E390" s="6" t="s">
        <v>17</v>
      </c>
      <c r="F390" s="41">
        <f>SUM(F386*0.0765)</f>
        <v>5814</v>
      </c>
      <c r="G390" s="41">
        <f>G386*0.0765</f>
        <v>-241.587</v>
      </c>
      <c r="H390" s="41">
        <f t="shared" si="33"/>
        <v>5572.4130000000005</v>
      </c>
      <c r="I390" s="37"/>
      <c r="J390" s="41">
        <f t="shared" si="34"/>
        <v>5572.4130000000005</v>
      </c>
      <c r="K390" s="41">
        <f>K386*0.0765</f>
        <v>3511.35</v>
      </c>
      <c r="N390" s="41">
        <f>N386*0.0765</f>
        <v>3616.6905</v>
      </c>
      <c r="O390" s="41"/>
      <c r="P390" s="41">
        <f>P386*0.0765</f>
        <v>3616.6905</v>
      </c>
      <c r="Q390" s="41"/>
      <c r="R390" s="41">
        <f>R386*0.0765</f>
        <v>3725.1675</v>
      </c>
      <c r="S390" s="41"/>
      <c r="T390" s="41">
        <f>T386*0.0765</f>
        <v>3725.1675</v>
      </c>
      <c r="U390" s="41"/>
    </row>
    <row r="391" spans="1:21" ht="12.75">
      <c r="A391" s="20"/>
      <c r="B391" s="4">
        <v>261</v>
      </c>
      <c r="C391" s="4">
        <v>2840</v>
      </c>
      <c r="D391" s="105" t="s">
        <v>164</v>
      </c>
      <c r="E391" s="6" t="s">
        <v>18</v>
      </c>
      <c r="F391" s="41">
        <f>F386*0.0055</f>
        <v>418</v>
      </c>
      <c r="G391" s="41">
        <f>G386*0.0055</f>
        <v>-17.369</v>
      </c>
      <c r="H391" s="41">
        <f t="shared" si="33"/>
        <v>400.631</v>
      </c>
      <c r="I391" s="37"/>
      <c r="J391" s="41">
        <f t="shared" si="34"/>
        <v>400.631</v>
      </c>
      <c r="K391" s="41">
        <f>K386*0.0055</f>
        <v>252.45</v>
      </c>
      <c r="N391" s="41">
        <f>N386*0.0055</f>
        <v>260.0235</v>
      </c>
      <c r="O391" s="41"/>
      <c r="P391" s="41">
        <f>P386*0.0055</f>
        <v>260.0235</v>
      </c>
      <c r="Q391" s="41"/>
      <c r="R391" s="41">
        <f>R386*0.0055</f>
        <v>267.8225</v>
      </c>
      <c r="S391" s="41"/>
      <c r="T391" s="41">
        <f>T386*0.0034</f>
        <v>165.563</v>
      </c>
      <c r="U391" s="41"/>
    </row>
    <row r="392" spans="1:21" ht="12" customHeight="1">
      <c r="A392" s="20"/>
      <c r="B392" s="4">
        <v>261</v>
      </c>
      <c r="C392" s="4">
        <v>2850</v>
      </c>
      <c r="D392" s="105" t="s">
        <v>164</v>
      </c>
      <c r="E392" s="6" t="s">
        <v>19</v>
      </c>
      <c r="F392" s="41">
        <v>1990</v>
      </c>
      <c r="G392" s="37"/>
      <c r="H392" s="41">
        <f t="shared" si="33"/>
        <v>1990</v>
      </c>
      <c r="I392" s="37">
        <v>-1000</v>
      </c>
      <c r="J392" s="41">
        <f t="shared" si="34"/>
        <v>990</v>
      </c>
      <c r="K392" s="41">
        <f>9500*0.0573</f>
        <v>544.35</v>
      </c>
      <c r="N392" s="41">
        <f>9500*0.0573</f>
        <v>544.35</v>
      </c>
      <c r="O392" s="41"/>
      <c r="P392" s="41">
        <f>9500*0.0573</f>
        <v>544.35</v>
      </c>
      <c r="Q392" s="41"/>
      <c r="R392" s="41">
        <f>9500*0.0815</f>
        <v>774.25</v>
      </c>
      <c r="S392" s="41"/>
      <c r="T392" s="41">
        <f>9500*0.0815</f>
        <v>774.25</v>
      </c>
      <c r="U392" s="41"/>
    </row>
    <row r="393" spans="1:21" ht="12.75" hidden="1">
      <c r="A393" s="3"/>
      <c r="B393" s="4">
        <v>261</v>
      </c>
      <c r="C393" s="4">
        <v>3150</v>
      </c>
      <c r="D393" s="105" t="s">
        <v>164</v>
      </c>
      <c r="E393" s="6" t="s">
        <v>104</v>
      </c>
      <c r="F393" s="41">
        <v>67890</v>
      </c>
      <c r="G393" s="37"/>
      <c r="H393" s="41">
        <f t="shared" si="33"/>
        <v>67890</v>
      </c>
      <c r="I393" s="41">
        <v>-46426</v>
      </c>
      <c r="J393" s="41">
        <f t="shared" si="34"/>
        <v>21464</v>
      </c>
      <c r="K393" s="41">
        <v>0</v>
      </c>
      <c r="N393" s="41">
        <v>0</v>
      </c>
      <c r="O393" s="41"/>
      <c r="P393" s="41">
        <v>0</v>
      </c>
      <c r="Q393" s="41"/>
      <c r="R393" s="41">
        <v>0</v>
      </c>
      <c r="S393" s="41"/>
      <c r="T393" s="41">
        <v>0</v>
      </c>
      <c r="U393" s="41"/>
    </row>
    <row r="394" spans="2:21" ht="12.75" hidden="1">
      <c r="B394" s="4">
        <v>261</v>
      </c>
      <c r="C394" s="4">
        <v>3190</v>
      </c>
      <c r="D394" s="105" t="s">
        <v>164</v>
      </c>
      <c r="E394" s="6" t="s">
        <v>55</v>
      </c>
      <c r="F394" s="41">
        <v>500</v>
      </c>
      <c r="G394" s="37"/>
      <c r="H394" s="41">
        <f t="shared" si="33"/>
        <v>500</v>
      </c>
      <c r="I394" s="37"/>
      <c r="J394" s="41">
        <f t="shared" si="34"/>
        <v>500</v>
      </c>
      <c r="K394" s="41">
        <v>0</v>
      </c>
      <c r="N394" s="41">
        <v>0</v>
      </c>
      <c r="O394" s="41"/>
      <c r="P394" s="41">
        <v>0</v>
      </c>
      <c r="Q394" s="41"/>
      <c r="R394" s="41">
        <v>0</v>
      </c>
      <c r="S394" s="41"/>
      <c r="T394" s="41">
        <v>0</v>
      </c>
      <c r="U394" s="41"/>
    </row>
    <row r="395" spans="2:20" ht="12.75">
      <c r="B395" s="4">
        <v>261</v>
      </c>
      <c r="C395" s="1">
        <v>3150</v>
      </c>
      <c r="D395" s="105" t="s">
        <v>164</v>
      </c>
      <c r="E395" s="6" t="s">
        <v>256</v>
      </c>
      <c r="F395" s="105" t="s">
        <v>245</v>
      </c>
      <c r="G395" s="6" t="s">
        <v>255</v>
      </c>
      <c r="H395" s="41"/>
      <c r="I395" s="41"/>
      <c r="J395" s="41"/>
      <c r="T395" s="41">
        <v>20270</v>
      </c>
    </row>
    <row r="396" spans="1:21" ht="12.75">
      <c r="A396" s="3"/>
      <c r="B396" s="4">
        <v>261</v>
      </c>
      <c r="C396" s="4">
        <v>3410</v>
      </c>
      <c r="D396" s="105" t="s">
        <v>164</v>
      </c>
      <c r="E396" s="6" t="s">
        <v>41</v>
      </c>
      <c r="F396" s="41">
        <v>45000</v>
      </c>
      <c r="G396" s="37"/>
      <c r="H396" s="41">
        <f t="shared" si="33"/>
        <v>45000</v>
      </c>
      <c r="I396" s="37"/>
      <c r="J396" s="41">
        <f t="shared" si="34"/>
        <v>45000</v>
      </c>
      <c r="K396" s="41">
        <v>25000</v>
      </c>
      <c r="N396" s="41">
        <v>30000</v>
      </c>
      <c r="O396" s="41"/>
      <c r="P396" s="41">
        <v>10000</v>
      </c>
      <c r="Q396" s="41"/>
      <c r="R396" s="41">
        <v>9000</v>
      </c>
      <c r="S396" s="41"/>
      <c r="T396" s="41">
        <v>36000</v>
      </c>
      <c r="U396" s="41"/>
    </row>
    <row r="397" spans="1:21" ht="12.75">
      <c r="A397" s="3"/>
      <c r="B397" s="4">
        <v>261</v>
      </c>
      <c r="C397" s="4">
        <v>3830</v>
      </c>
      <c r="D397" s="105" t="s">
        <v>164</v>
      </c>
      <c r="E397" s="6" t="s">
        <v>60</v>
      </c>
      <c r="F397" s="41">
        <v>30000</v>
      </c>
      <c r="G397" s="37"/>
      <c r="H397" s="41">
        <f t="shared" si="33"/>
        <v>30000</v>
      </c>
      <c r="I397" s="37"/>
      <c r="J397" s="41">
        <f t="shared" si="34"/>
        <v>30000</v>
      </c>
      <c r="K397" s="41">
        <v>25000</v>
      </c>
      <c r="N397" s="41">
        <v>27000</v>
      </c>
      <c r="O397" s="41"/>
      <c r="P397" s="41">
        <v>35000</v>
      </c>
      <c r="Q397" s="41"/>
      <c r="R397" s="41">
        <v>39000</v>
      </c>
      <c r="S397" s="41"/>
      <c r="T397" s="41">
        <v>58000</v>
      </c>
      <c r="U397" s="41"/>
    </row>
    <row r="398" spans="1:21" ht="12.75">
      <c r="A398" s="3"/>
      <c r="B398" s="4">
        <v>261</v>
      </c>
      <c r="C398" s="4">
        <v>3840</v>
      </c>
      <c r="D398" s="105" t="s">
        <v>164</v>
      </c>
      <c r="E398" s="6" t="s">
        <v>3</v>
      </c>
      <c r="F398" s="41">
        <v>12000</v>
      </c>
      <c r="G398" s="37"/>
      <c r="H398" s="41">
        <f t="shared" si="33"/>
        <v>12000</v>
      </c>
      <c r="I398" s="37"/>
      <c r="J398" s="41">
        <f t="shared" si="34"/>
        <v>12000</v>
      </c>
      <c r="K398" s="41">
        <v>14600</v>
      </c>
      <c r="N398" s="41">
        <v>15038</v>
      </c>
      <c r="O398" s="41"/>
      <c r="P398" s="41">
        <v>15489</v>
      </c>
      <c r="Q398" s="41"/>
      <c r="R398" s="41">
        <v>6000</v>
      </c>
      <c r="S398" s="41"/>
      <c r="T398" s="41">
        <v>7000</v>
      </c>
      <c r="U398" s="41"/>
    </row>
    <row r="399" spans="1:21" ht="12.75">
      <c r="A399" s="3"/>
      <c r="B399" s="4">
        <v>261</v>
      </c>
      <c r="C399" s="4">
        <v>3910</v>
      </c>
      <c r="D399" s="105" t="s">
        <v>164</v>
      </c>
      <c r="E399" s="6" t="s">
        <v>107</v>
      </c>
      <c r="F399" s="41">
        <v>305000</v>
      </c>
      <c r="G399" s="37"/>
      <c r="H399" s="41">
        <f t="shared" si="33"/>
        <v>305000</v>
      </c>
      <c r="I399" s="41">
        <v>-60000</v>
      </c>
      <c r="J399" s="41">
        <f t="shared" si="34"/>
        <v>245000</v>
      </c>
      <c r="K399" s="41">
        <v>227538</v>
      </c>
      <c r="N399" s="41">
        <v>247000</v>
      </c>
      <c r="O399" s="41"/>
      <c r="P399" s="41">
        <v>257000</v>
      </c>
      <c r="Q399" s="41"/>
      <c r="R399" s="41">
        <v>335000</v>
      </c>
      <c r="S399" s="41"/>
      <c r="T399" s="41">
        <v>150000</v>
      </c>
      <c r="U399" s="41"/>
    </row>
    <row r="400" spans="1:21" ht="12.75">
      <c r="A400" s="3"/>
      <c r="B400" s="4">
        <v>261</v>
      </c>
      <c r="C400" s="4">
        <v>4110</v>
      </c>
      <c r="D400" s="105" t="s">
        <v>164</v>
      </c>
      <c r="E400" s="6" t="s">
        <v>105</v>
      </c>
      <c r="F400" s="41">
        <v>240000</v>
      </c>
      <c r="G400" s="37"/>
      <c r="H400" s="41">
        <f t="shared" si="33"/>
        <v>240000</v>
      </c>
      <c r="I400" s="41"/>
      <c r="J400" s="41">
        <f t="shared" si="34"/>
        <v>240000</v>
      </c>
      <c r="K400" s="41">
        <v>140000</v>
      </c>
      <c r="N400" s="41">
        <v>144200</v>
      </c>
      <c r="O400" s="41"/>
      <c r="P400" s="41">
        <v>148526</v>
      </c>
      <c r="Q400" s="41"/>
      <c r="R400" s="41">
        <v>190000</v>
      </c>
      <c r="S400" s="41"/>
      <c r="T400" s="41">
        <v>200000</v>
      </c>
      <c r="U400" s="41"/>
    </row>
    <row r="401" spans="1:21" ht="12.75">
      <c r="A401" s="3"/>
      <c r="B401" s="4">
        <v>261</v>
      </c>
      <c r="C401" s="4">
        <v>4120</v>
      </c>
      <c r="D401" s="105" t="s">
        <v>164</v>
      </c>
      <c r="E401" s="6" t="s">
        <v>44</v>
      </c>
      <c r="F401" s="41">
        <v>200000</v>
      </c>
      <c r="G401" s="41">
        <v>19628</v>
      </c>
      <c r="H401" s="41">
        <f t="shared" si="33"/>
        <v>219628</v>
      </c>
      <c r="I401" s="41">
        <v>20000</v>
      </c>
      <c r="J401" s="41">
        <f t="shared" si="34"/>
        <v>239628</v>
      </c>
      <c r="K401" s="41">
        <v>177000</v>
      </c>
      <c r="N401" s="41">
        <v>192346</v>
      </c>
      <c r="O401" s="41"/>
      <c r="P401" s="41">
        <v>182000</v>
      </c>
      <c r="Q401" s="41"/>
      <c r="R401" s="41">
        <v>229000</v>
      </c>
      <c r="S401" s="41"/>
      <c r="T401" s="41">
        <v>233000</v>
      </c>
      <c r="U401" s="41"/>
    </row>
    <row r="402" spans="1:21" ht="12.75">
      <c r="A402" s="3"/>
      <c r="B402" s="4">
        <v>261</v>
      </c>
      <c r="C402" s="4">
        <v>4220</v>
      </c>
      <c r="D402" s="105" t="s">
        <v>164</v>
      </c>
      <c r="E402" s="6" t="s">
        <v>59</v>
      </c>
      <c r="F402" s="41">
        <v>300000</v>
      </c>
      <c r="G402" s="41"/>
      <c r="H402" s="41">
        <f t="shared" si="33"/>
        <v>300000</v>
      </c>
      <c r="I402" s="41"/>
      <c r="J402" s="41">
        <f t="shared" si="34"/>
        <v>300000</v>
      </c>
      <c r="K402" s="41">
        <v>150000</v>
      </c>
      <c r="N402" s="41">
        <v>150000</v>
      </c>
      <c r="O402" s="41"/>
      <c r="P402" s="41">
        <v>150000</v>
      </c>
      <c r="Q402" s="41"/>
      <c r="R402" s="41">
        <v>150000</v>
      </c>
      <c r="S402" s="41"/>
      <c r="T402" s="41">
        <v>154500</v>
      </c>
      <c r="U402" s="41"/>
    </row>
    <row r="403" spans="1:21" ht="12.75">
      <c r="A403" s="3"/>
      <c r="B403" s="4">
        <v>261</v>
      </c>
      <c r="C403" s="4">
        <v>5510</v>
      </c>
      <c r="D403" s="105" t="s">
        <v>164</v>
      </c>
      <c r="E403" s="6" t="s">
        <v>42</v>
      </c>
      <c r="F403" s="41">
        <v>90000</v>
      </c>
      <c r="G403" s="41">
        <v>23480</v>
      </c>
      <c r="H403" s="41">
        <f t="shared" si="33"/>
        <v>113480</v>
      </c>
      <c r="I403" s="41"/>
      <c r="J403" s="41">
        <f t="shared" si="34"/>
        <v>113480</v>
      </c>
      <c r="K403" s="41">
        <v>95000</v>
      </c>
      <c r="N403" s="41">
        <v>97850</v>
      </c>
      <c r="O403" s="41"/>
      <c r="P403" s="41">
        <v>100786</v>
      </c>
      <c r="Q403" s="41"/>
      <c r="R403" s="41">
        <v>87000</v>
      </c>
      <c r="S403" s="41"/>
      <c r="T403" s="41">
        <v>88000</v>
      </c>
      <c r="U403" s="41"/>
    </row>
    <row r="404" spans="1:21" ht="12.75">
      <c r="A404" s="3"/>
      <c r="B404" s="4">
        <v>261</v>
      </c>
      <c r="C404" s="4">
        <v>5520</v>
      </c>
      <c r="D404" s="105" t="s">
        <v>164</v>
      </c>
      <c r="E404" s="6" t="s">
        <v>43</v>
      </c>
      <c r="F404" s="41">
        <v>90000</v>
      </c>
      <c r="G404" s="41"/>
      <c r="H404" s="41">
        <f t="shared" si="33"/>
        <v>90000</v>
      </c>
      <c r="I404" s="41"/>
      <c r="J404" s="41">
        <f t="shared" si="34"/>
        <v>90000</v>
      </c>
      <c r="K404" s="41">
        <v>65000</v>
      </c>
      <c r="N404" s="41">
        <v>66950</v>
      </c>
      <c r="O404" s="41"/>
      <c r="P404" s="41">
        <v>80000</v>
      </c>
      <c r="Q404" s="41"/>
      <c r="R404" s="41">
        <v>97000</v>
      </c>
      <c r="S404" s="41"/>
      <c r="T404" s="41">
        <v>98000</v>
      </c>
      <c r="U404" s="41"/>
    </row>
    <row r="405" spans="1:21" ht="12.75">
      <c r="A405" s="3"/>
      <c r="B405" s="4">
        <v>261</v>
      </c>
      <c r="C405" s="4">
        <v>5990</v>
      </c>
      <c r="D405" s="105" t="s">
        <v>164</v>
      </c>
      <c r="E405" s="6" t="s">
        <v>68</v>
      </c>
      <c r="F405" s="41">
        <v>2000</v>
      </c>
      <c r="G405" s="41"/>
      <c r="H405" s="41">
        <f t="shared" si="33"/>
        <v>2000</v>
      </c>
      <c r="I405" s="41"/>
      <c r="J405" s="41">
        <f t="shared" si="34"/>
        <v>2000</v>
      </c>
      <c r="K405" s="41"/>
      <c r="N405" s="41"/>
      <c r="O405" s="41"/>
      <c r="P405" s="41"/>
      <c r="Q405" s="41"/>
      <c r="R405" s="41"/>
      <c r="S405" s="41"/>
      <c r="T405" s="41"/>
      <c r="U405" s="41"/>
    </row>
    <row r="406" spans="1:21" ht="12.75">
      <c r="A406" s="3"/>
      <c r="B406" s="4">
        <v>261</v>
      </c>
      <c r="C406" s="4">
        <v>6310</v>
      </c>
      <c r="D406" s="105" t="s">
        <v>164</v>
      </c>
      <c r="E406" s="6" t="s">
        <v>62</v>
      </c>
      <c r="F406" s="41">
        <v>500</v>
      </c>
      <c r="G406" s="41"/>
      <c r="H406" s="41">
        <f t="shared" si="33"/>
        <v>500</v>
      </c>
      <c r="I406" s="41"/>
      <c r="J406" s="41">
        <f t="shared" si="34"/>
        <v>500</v>
      </c>
      <c r="K406" s="41"/>
      <c r="N406" s="41"/>
      <c r="O406" s="41"/>
      <c r="P406" s="41"/>
      <c r="Q406" s="41"/>
      <c r="R406" s="41"/>
      <c r="S406" s="41"/>
      <c r="T406" s="41"/>
      <c r="U406" s="41"/>
    </row>
    <row r="407" spans="1:10" ht="12.75">
      <c r="A407" s="3"/>
      <c r="B407" s="4">
        <v>261</v>
      </c>
      <c r="C407" s="4">
        <v>6410</v>
      </c>
      <c r="D407" s="105" t="s">
        <v>164</v>
      </c>
      <c r="E407" s="6" t="s">
        <v>25</v>
      </c>
      <c r="F407" s="41"/>
      <c r="G407" s="41"/>
      <c r="H407" s="41"/>
      <c r="I407" s="41"/>
      <c r="J407" s="41"/>
    </row>
    <row r="408" spans="1:21" ht="12.75">
      <c r="A408" s="3"/>
      <c r="B408" s="4">
        <v>261</v>
      </c>
      <c r="C408" s="42">
        <v>7910</v>
      </c>
      <c r="D408" s="105" t="s">
        <v>164</v>
      </c>
      <c r="E408" s="8" t="s">
        <v>0</v>
      </c>
      <c r="F408" s="41">
        <v>1000</v>
      </c>
      <c r="G408" s="41"/>
      <c r="H408" s="41">
        <f>F408+G408</f>
        <v>1000</v>
      </c>
      <c r="I408" s="41"/>
      <c r="J408" s="41">
        <f>SUM(H408:I408)</f>
        <v>1000</v>
      </c>
      <c r="K408" s="41">
        <v>500</v>
      </c>
      <c r="N408" s="41">
        <v>500</v>
      </c>
      <c r="O408" s="41"/>
      <c r="P408" s="41">
        <v>500</v>
      </c>
      <c r="Q408" s="41"/>
      <c r="R408" s="41">
        <v>500</v>
      </c>
      <c r="S408" s="41"/>
      <c r="T408" s="41">
        <v>500</v>
      </c>
      <c r="U408" s="41"/>
    </row>
    <row r="409" spans="1:10" ht="12.75">
      <c r="A409" s="151" t="s">
        <v>127</v>
      </c>
      <c r="B409" s="152"/>
      <c r="C409" s="152" t="s">
        <v>4</v>
      </c>
      <c r="D409" s="152"/>
      <c r="E409" s="159"/>
      <c r="F409" s="41"/>
      <c r="G409" s="41"/>
      <c r="H409" s="41"/>
      <c r="I409" s="41"/>
      <c r="J409" s="41"/>
    </row>
    <row r="410" spans="1:21" ht="12.75">
      <c r="A410" s="44"/>
      <c r="B410" s="42">
        <v>266</v>
      </c>
      <c r="C410" s="4">
        <v>1660</v>
      </c>
      <c r="D410" s="105" t="s">
        <v>166</v>
      </c>
      <c r="E410" s="6" t="s">
        <v>56</v>
      </c>
      <c r="F410" s="41">
        <v>40862</v>
      </c>
      <c r="G410" s="41"/>
      <c r="H410" s="41">
        <f aca="true" t="shared" si="35" ref="H410:H418">F410+G410</f>
        <v>40862</v>
      </c>
      <c r="I410" s="41"/>
      <c r="J410" s="41">
        <f aca="true" t="shared" si="36" ref="J410:J416">SUM(H410:I410)</f>
        <v>40862</v>
      </c>
      <c r="K410" s="41">
        <v>70000</v>
      </c>
      <c r="N410" s="41">
        <v>65000</v>
      </c>
      <c r="O410" s="41"/>
      <c r="P410" s="41">
        <v>62300</v>
      </c>
      <c r="Q410" s="41"/>
      <c r="R410" s="41">
        <v>80000</v>
      </c>
      <c r="S410" s="41"/>
      <c r="T410" s="41">
        <v>81000</v>
      </c>
      <c r="U410" s="41"/>
    </row>
    <row r="411" spans="1:21" ht="12.75">
      <c r="A411" s="44"/>
      <c r="B411" s="42">
        <v>266</v>
      </c>
      <c r="C411" s="4">
        <v>2110</v>
      </c>
      <c r="D411" s="105" t="s">
        <v>166</v>
      </c>
      <c r="E411" s="6" t="s">
        <v>64</v>
      </c>
      <c r="F411" s="41">
        <v>250</v>
      </c>
      <c r="G411" s="41"/>
      <c r="H411" s="41">
        <f t="shared" si="35"/>
        <v>250</v>
      </c>
      <c r="I411" s="41"/>
      <c r="J411" s="41">
        <f t="shared" si="36"/>
        <v>250</v>
      </c>
      <c r="K411" s="41"/>
      <c r="N411" s="41"/>
      <c r="O411" s="41"/>
      <c r="P411" s="41"/>
      <c r="Q411" s="41"/>
      <c r="R411" s="41"/>
      <c r="S411" s="41"/>
      <c r="T411" s="41"/>
      <c r="U411" s="41"/>
    </row>
    <row r="412" spans="1:21" ht="12.75">
      <c r="A412" s="44"/>
      <c r="B412" s="42">
        <v>266</v>
      </c>
      <c r="C412" s="4">
        <v>2130</v>
      </c>
      <c r="D412" s="105" t="s">
        <v>166</v>
      </c>
      <c r="E412" s="6" t="s">
        <v>15</v>
      </c>
      <c r="F412" s="41">
        <v>3472</v>
      </c>
      <c r="G412" s="41"/>
      <c r="H412" s="41">
        <f t="shared" si="35"/>
        <v>3472</v>
      </c>
      <c r="I412" s="41"/>
      <c r="J412" s="41">
        <f t="shared" si="36"/>
        <v>3472</v>
      </c>
      <c r="K412" s="41">
        <v>13000</v>
      </c>
      <c r="N412" s="41">
        <v>13650</v>
      </c>
      <c r="O412" s="41"/>
      <c r="P412" s="41">
        <v>14300</v>
      </c>
      <c r="Q412" s="41"/>
      <c r="R412" s="41">
        <v>15015</v>
      </c>
      <c r="S412" s="41"/>
      <c r="T412" s="41">
        <v>15766</v>
      </c>
      <c r="U412" s="41"/>
    </row>
    <row r="413" spans="1:21" ht="12.75">
      <c r="A413" s="44"/>
      <c r="B413" s="42">
        <v>266</v>
      </c>
      <c r="C413" s="4">
        <v>2820</v>
      </c>
      <c r="D413" s="105" t="s">
        <v>166</v>
      </c>
      <c r="E413" s="6" t="s">
        <v>16</v>
      </c>
      <c r="F413" s="41">
        <f>SUM(F410*0.06)</f>
        <v>2451.72</v>
      </c>
      <c r="G413" s="41"/>
      <c r="H413" s="41">
        <f t="shared" si="35"/>
        <v>2451.72</v>
      </c>
      <c r="I413" s="41"/>
      <c r="J413" s="41">
        <f t="shared" si="36"/>
        <v>2451.72</v>
      </c>
      <c r="K413" s="41"/>
      <c r="N413" s="41"/>
      <c r="O413" s="41"/>
      <c r="P413" s="41"/>
      <c r="Q413" s="41"/>
      <c r="R413" s="41"/>
      <c r="S413" s="41"/>
      <c r="T413" s="41"/>
      <c r="U413" s="41"/>
    </row>
    <row r="414" spans="1:21" ht="12.75">
      <c r="A414" s="44"/>
      <c r="B414" s="42">
        <v>266</v>
      </c>
      <c r="C414" s="4">
        <v>2830</v>
      </c>
      <c r="D414" s="105" t="s">
        <v>166</v>
      </c>
      <c r="E414" s="6" t="s">
        <v>17</v>
      </c>
      <c r="F414" s="41">
        <f>SUM(F410*0.0765)</f>
        <v>3125.9429999999998</v>
      </c>
      <c r="G414" s="41"/>
      <c r="H414" s="41">
        <f t="shared" si="35"/>
        <v>3125.9429999999998</v>
      </c>
      <c r="I414" s="41"/>
      <c r="J414" s="41">
        <f t="shared" si="36"/>
        <v>3125.9429999999998</v>
      </c>
      <c r="K414" s="41">
        <f>K410*0.0765</f>
        <v>5355</v>
      </c>
      <c r="N414" s="41">
        <f>N410*0.0765</f>
        <v>4972.5</v>
      </c>
      <c r="O414" s="41"/>
      <c r="P414" s="41">
        <f>P410*0.0765</f>
        <v>4765.95</v>
      </c>
      <c r="Q414" s="41"/>
      <c r="R414" s="41">
        <f>R410*0.0765</f>
        <v>6120</v>
      </c>
      <c r="S414" s="41"/>
      <c r="T414" s="41">
        <f>T410*0.0765</f>
        <v>6196.5</v>
      </c>
      <c r="U414" s="41"/>
    </row>
    <row r="415" spans="1:21" ht="12.75">
      <c r="A415" s="44"/>
      <c r="B415" s="42">
        <v>266</v>
      </c>
      <c r="C415" s="4">
        <v>2840</v>
      </c>
      <c r="D415" s="105" t="s">
        <v>166</v>
      </c>
      <c r="E415" s="6" t="s">
        <v>18</v>
      </c>
      <c r="F415" s="41">
        <f>F410*0.0055</f>
        <v>224.74099999999999</v>
      </c>
      <c r="G415" s="41"/>
      <c r="H415" s="41">
        <f t="shared" si="35"/>
        <v>224.74099999999999</v>
      </c>
      <c r="I415" s="41"/>
      <c r="J415" s="41">
        <f t="shared" si="36"/>
        <v>224.74099999999999</v>
      </c>
      <c r="K415" s="41">
        <f>K410*0.0055</f>
        <v>385</v>
      </c>
      <c r="N415" s="41">
        <f>N410*0.0055</f>
        <v>357.5</v>
      </c>
      <c r="O415" s="41"/>
      <c r="P415" s="41">
        <f>P410*0.0055</f>
        <v>342.65</v>
      </c>
      <c r="Q415" s="41"/>
      <c r="R415" s="41">
        <f>R410*0.0055</f>
        <v>440</v>
      </c>
      <c r="S415" s="41"/>
      <c r="T415" s="41">
        <f>T410*0.0034</f>
        <v>275.4</v>
      </c>
      <c r="U415" s="41"/>
    </row>
    <row r="416" spans="1:21" ht="12.75">
      <c r="A416" s="44"/>
      <c r="B416" s="42">
        <v>266</v>
      </c>
      <c r="C416" s="4">
        <v>2850</v>
      </c>
      <c r="D416" s="105" t="s">
        <v>166</v>
      </c>
      <c r="E416" s="6" t="s">
        <v>19</v>
      </c>
      <c r="F416" s="41">
        <v>995</v>
      </c>
      <c r="G416" s="41"/>
      <c r="H416" s="41">
        <f t="shared" si="35"/>
        <v>995</v>
      </c>
      <c r="I416" s="41">
        <v>-500</v>
      </c>
      <c r="J416" s="41">
        <f t="shared" si="36"/>
        <v>495</v>
      </c>
      <c r="K416" s="41">
        <f>9500*3*0.0573</f>
        <v>1633.05</v>
      </c>
      <c r="N416" s="41">
        <f>9500*3*0.0573</f>
        <v>1633.05</v>
      </c>
      <c r="O416" s="41"/>
      <c r="P416" s="41">
        <f>9500*3*0.0573</f>
        <v>1633.05</v>
      </c>
      <c r="Q416" s="41"/>
      <c r="R416" s="41">
        <f>9500*4.5*0.0815</f>
        <v>3484.125</v>
      </c>
      <c r="S416" s="41"/>
      <c r="T416" s="41">
        <f>9500*4.5*0.0815</f>
        <v>3484.125</v>
      </c>
      <c r="U416" s="41"/>
    </row>
    <row r="417" spans="1:20" ht="12.75">
      <c r="A417" s="44"/>
      <c r="B417" s="42">
        <v>266</v>
      </c>
      <c r="C417" s="1">
        <v>3150</v>
      </c>
      <c r="D417" s="105" t="s">
        <v>164</v>
      </c>
      <c r="E417" s="6" t="s">
        <v>255</v>
      </c>
      <c r="F417" s="105" t="s">
        <v>245</v>
      </c>
      <c r="G417" s="6" t="s">
        <v>255</v>
      </c>
      <c r="H417" s="41"/>
      <c r="I417" s="41"/>
      <c r="J417" s="41"/>
      <c r="T417" s="41">
        <v>20270</v>
      </c>
    </row>
    <row r="418" spans="1:21" ht="12.75">
      <c r="A418" s="44"/>
      <c r="B418" s="4">
        <v>266</v>
      </c>
      <c r="C418" s="4">
        <v>4910</v>
      </c>
      <c r="D418" s="105" t="s">
        <v>166</v>
      </c>
      <c r="E418" s="6" t="s">
        <v>73</v>
      </c>
      <c r="F418" s="41">
        <v>89424</v>
      </c>
      <c r="G418" s="41"/>
      <c r="H418" s="41">
        <f t="shared" si="35"/>
        <v>89424</v>
      </c>
      <c r="I418" s="41">
        <v>-20000</v>
      </c>
      <c r="J418" s="41">
        <f>H418+I418</f>
        <v>69424</v>
      </c>
      <c r="K418" s="41"/>
      <c r="N418" s="41"/>
      <c r="O418" s="41"/>
      <c r="P418" s="41"/>
      <c r="Q418" s="41"/>
      <c r="R418" s="41"/>
      <c r="S418" s="41"/>
      <c r="T418" s="41"/>
      <c r="U418" s="41"/>
    </row>
    <row r="419" spans="1:21" ht="12.75">
      <c r="A419" s="44"/>
      <c r="B419" s="4">
        <v>266</v>
      </c>
      <c r="C419" s="4">
        <v>4910</v>
      </c>
      <c r="D419" s="105" t="s">
        <v>164</v>
      </c>
      <c r="E419" s="6" t="s">
        <v>73</v>
      </c>
      <c r="F419" s="41"/>
      <c r="G419" s="41"/>
      <c r="H419" s="41"/>
      <c r="I419" s="41">
        <v>20000</v>
      </c>
      <c r="J419" s="41">
        <f>H419+I419</f>
        <v>20000</v>
      </c>
      <c r="K419" s="56"/>
      <c r="N419" s="56"/>
      <c r="O419" s="56"/>
      <c r="P419" s="56"/>
      <c r="Q419" s="56"/>
      <c r="R419" s="56"/>
      <c r="S419" s="56"/>
      <c r="T419" s="56"/>
      <c r="U419" s="56"/>
    </row>
    <row r="420" spans="1:21" ht="12.75">
      <c r="A420" s="44"/>
      <c r="B420" s="4">
        <v>266</v>
      </c>
      <c r="C420" s="4">
        <v>7910</v>
      </c>
      <c r="D420" s="105" t="s">
        <v>166</v>
      </c>
      <c r="E420" s="6" t="s">
        <v>0</v>
      </c>
      <c r="F420" s="41">
        <v>500</v>
      </c>
      <c r="G420" s="41"/>
      <c r="H420" s="41">
        <f>F420+G420</f>
        <v>500</v>
      </c>
      <c r="I420" s="41"/>
      <c r="J420" s="41">
        <f>H420+I420</f>
        <v>500</v>
      </c>
      <c r="K420" s="41"/>
      <c r="N420" s="41"/>
      <c r="O420" s="41"/>
      <c r="P420" s="41"/>
      <c r="Q420" s="41"/>
      <c r="R420" s="41"/>
      <c r="S420" s="41"/>
      <c r="T420" s="41"/>
      <c r="U420" s="41"/>
    </row>
    <row r="421" spans="1:21" ht="13.5" thickBot="1">
      <c r="A421" s="145" t="s">
        <v>145</v>
      </c>
      <c r="B421" s="146"/>
      <c r="C421" s="146"/>
      <c r="D421" s="146"/>
      <c r="E421" s="147"/>
      <c r="F421" s="88">
        <f aca="true" t="shared" si="37" ref="F421:K421">SUM(F386:F420)</f>
        <v>1636227.4039999999</v>
      </c>
      <c r="G421" s="88">
        <f t="shared" si="37"/>
        <v>39691.044</v>
      </c>
      <c r="H421" s="88">
        <f t="shared" si="37"/>
        <v>1675918.4479999999</v>
      </c>
      <c r="I421" s="118">
        <f t="shared" si="37"/>
        <v>-90206</v>
      </c>
      <c r="J421" s="118">
        <f t="shared" si="37"/>
        <v>1585712.4479999999</v>
      </c>
      <c r="K421" s="118">
        <f t="shared" si="37"/>
        <v>1073386.2</v>
      </c>
      <c r="N421" s="118">
        <f>SUM(N386:N420)</f>
        <v>1122014.114</v>
      </c>
      <c r="O421" s="135"/>
      <c r="P421" s="118">
        <f>SUM(P386:P420)</f>
        <v>1128844.714</v>
      </c>
      <c r="Q421" s="135"/>
      <c r="R421" s="118">
        <f>SUM(R386:R420)</f>
        <v>1316244.365</v>
      </c>
      <c r="S421" s="135"/>
      <c r="T421" s="118">
        <f>SUM(T386:T420)</f>
        <v>1242573.9054999999</v>
      </c>
      <c r="U421" s="135"/>
    </row>
    <row r="422" spans="1:10" ht="14.25">
      <c r="A422" s="160" t="s">
        <v>201</v>
      </c>
      <c r="B422" s="161"/>
      <c r="C422" s="161"/>
      <c r="D422" s="161"/>
      <c r="E422" s="161"/>
      <c r="F422" s="41"/>
      <c r="G422" s="37"/>
      <c r="I422" s="41"/>
      <c r="J422" s="41"/>
    </row>
    <row r="423" spans="1:21" ht="14.25">
      <c r="A423" s="119"/>
      <c r="B423" s="42">
        <v>271</v>
      </c>
      <c r="C423" s="4">
        <v>1630</v>
      </c>
      <c r="D423" s="105" t="s">
        <v>164</v>
      </c>
      <c r="E423" s="6" t="s">
        <v>202</v>
      </c>
      <c r="F423" s="41">
        <v>14750</v>
      </c>
      <c r="G423" s="37"/>
      <c r="H423" s="41">
        <f>F423+G423</f>
        <v>14750</v>
      </c>
      <c r="I423" s="41"/>
      <c r="J423" s="41">
        <f>SUM(H423:I423)</f>
        <v>14750</v>
      </c>
      <c r="K423" s="41">
        <f>SUM(I423:J423)</f>
        <v>14750</v>
      </c>
      <c r="N423" s="41">
        <v>15193</v>
      </c>
      <c r="O423" s="41"/>
      <c r="P423" s="41">
        <v>15193</v>
      </c>
      <c r="Q423" s="41"/>
      <c r="R423" s="41">
        <v>15649</v>
      </c>
      <c r="S423" s="41"/>
      <c r="T423" s="41">
        <v>18530</v>
      </c>
      <c r="U423" s="41"/>
    </row>
    <row r="424" spans="1:10" ht="14.25">
      <c r="A424" s="119"/>
      <c r="B424" s="42">
        <v>271</v>
      </c>
      <c r="C424" s="4">
        <v>2130</v>
      </c>
      <c r="D424" s="105" t="s">
        <v>164</v>
      </c>
      <c r="E424" s="6" t="s">
        <v>15</v>
      </c>
      <c r="F424" s="41"/>
      <c r="G424" s="37"/>
      <c r="I424" s="41"/>
      <c r="J424" s="41"/>
    </row>
    <row r="425" spans="1:21" ht="14.25">
      <c r="A425" s="119"/>
      <c r="B425" s="42">
        <v>271</v>
      </c>
      <c r="C425" s="4">
        <v>2820</v>
      </c>
      <c r="D425" s="105" t="s">
        <v>164</v>
      </c>
      <c r="E425" s="6" t="s">
        <v>16</v>
      </c>
      <c r="F425" s="41">
        <v>600</v>
      </c>
      <c r="G425" s="37"/>
      <c r="H425" s="41">
        <f>F425+G425</f>
        <v>600</v>
      </c>
      <c r="I425" s="41">
        <f>-H425/2</f>
        <v>-300</v>
      </c>
      <c r="J425" s="41">
        <f aca="true" t="shared" si="38" ref="J425:J432">SUM(H425:I425)</f>
        <v>300</v>
      </c>
      <c r="K425" s="41"/>
      <c r="N425" s="41"/>
      <c r="O425" s="41"/>
      <c r="P425" s="41"/>
      <c r="Q425" s="41"/>
      <c r="R425" s="41"/>
      <c r="S425" s="41"/>
      <c r="T425" s="41"/>
      <c r="U425" s="41"/>
    </row>
    <row r="426" spans="1:21" ht="14.25">
      <c r="A426" s="119"/>
      <c r="B426" s="42">
        <v>271</v>
      </c>
      <c r="C426" s="4">
        <v>2830</v>
      </c>
      <c r="D426" s="105" t="s">
        <v>164</v>
      </c>
      <c r="E426" s="6" t="s">
        <v>17</v>
      </c>
      <c r="F426" s="41">
        <f>F423*0.0765</f>
        <v>1128.375</v>
      </c>
      <c r="G426" s="37"/>
      <c r="H426" s="41">
        <f>F426+G426</f>
        <v>1128.375</v>
      </c>
      <c r="I426" s="41"/>
      <c r="J426" s="41">
        <f t="shared" si="38"/>
        <v>1128.375</v>
      </c>
      <c r="K426" s="41">
        <f>K423*0.0765</f>
        <v>1128.375</v>
      </c>
      <c r="N426" s="41">
        <f>N423*0.0765</f>
        <v>1162.2645</v>
      </c>
      <c r="O426" s="41"/>
      <c r="P426" s="41">
        <f>P423*0.0765</f>
        <v>1162.2645</v>
      </c>
      <c r="Q426" s="41"/>
      <c r="R426" s="41">
        <f>R423*0.0765</f>
        <v>1197.1485</v>
      </c>
      <c r="S426" s="41"/>
      <c r="T426" s="41">
        <f>T423*0.0765</f>
        <v>1417.545</v>
      </c>
      <c r="U426" s="41"/>
    </row>
    <row r="427" spans="1:21" ht="14.25">
      <c r="A427" s="119"/>
      <c r="B427" s="42">
        <v>271</v>
      </c>
      <c r="C427" s="4">
        <v>2840</v>
      </c>
      <c r="D427" s="105" t="s">
        <v>164</v>
      </c>
      <c r="E427" s="6" t="s">
        <v>18</v>
      </c>
      <c r="F427" s="41">
        <f>F423*0.0055</f>
        <v>81.125</v>
      </c>
      <c r="G427" s="37"/>
      <c r="H427" s="41">
        <f>F427+G427</f>
        <v>81.125</v>
      </c>
      <c r="I427" s="41"/>
      <c r="J427" s="41">
        <f t="shared" si="38"/>
        <v>81.125</v>
      </c>
      <c r="K427" s="41">
        <f>K423*0.0055</f>
        <v>81.125</v>
      </c>
      <c r="N427" s="41">
        <f>N423*0.0055</f>
        <v>83.5615</v>
      </c>
      <c r="O427" s="41"/>
      <c r="P427" s="41">
        <f>P423*0.0055</f>
        <v>83.5615</v>
      </c>
      <c r="Q427" s="41"/>
      <c r="R427" s="41">
        <f>R423*0.0055</f>
        <v>86.06949999999999</v>
      </c>
      <c r="S427" s="41"/>
      <c r="T427" s="41">
        <f>T423*0.0055</f>
        <v>101.91499999999999</v>
      </c>
      <c r="U427" s="41"/>
    </row>
    <row r="428" spans="1:21" ht="14.25">
      <c r="A428" s="119"/>
      <c r="B428" s="42">
        <v>271</v>
      </c>
      <c r="C428" s="4">
        <v>2850</v>
      </c>
      <c r="D428" s="105" t="s">
        <v>164</v>
      </c>
      <c r="E428" s="6" t="s">
        <v>19</v>
      </c>
      <c r="F428" s="41">
        <v>995</v>
      </c>
      <c r="G428" s="37"/>
      <c r="H428" s="41">
        <f>F428+G428</f>
        <v>995</v>
      </c>
      <c r="I428" s="41"/>
      <c r="J428" s="41">
        <f t="shared" si="38"/>
        <v>995</v>
      </c>
      <c r="K428" s="41">
        <f>9500*0.0573*0.2</f>
        <v>108.87</v>
      </c>
      <c r="N428" s="41">
        <f>9500*0.0573*0.2</f>
        <v>108.87</v>
      </c>
      <c r="O428" s="41"/>
      <c r="P428" s="41">
        <f>9500*0.0573*0.2</f>
        <v>108.87</v>
      </c>
      <c r="Q428" s="41"/>
      <c r="R428" s="41">
        <f>9500*0.0573*0.2</f>
        <v>108.87</v>
      </c>
      <c r="S428" s="41"/>
      <c r="T428" s="41">
        <f>9500*0.0573*0.2</f>
        <v>108.87</v>
      </c>
      <c r="U428" s="41"/>
    </row>
    <row r="429" spans="1:21" ht="12.75">
      <c r="A429" s="44"/>
      <c r="B429" s="42">
        <v>271</v>
      </c>
      <c r="C429" s="4">
        <v>4230</v>
      </c>
      <c r="D429" s="105" t="s">
        <v>164</v>
      </c>
      <c r="E429" s="6" t="s">
        <v>97</v>
      </c>
      <c r="F429" s="87">
        <v>10000</v>
      </c>
      <c r="G429" s="37"/>
      <c r="H429" s="41">
        <f>F429+G429</f>
        <v>10000</v>
      </c>
      <c r="I429" s="41"/>
      <c r="J429" s="41">
        <f t="shared" si="38"/>
        <v>10000</v>
      </c>
      <c r="K429" s="41">
        <v>3500</v>
      </c>
      <c r="N429" s="41">
        <v>3500</v>
      </c>
      <c r="O429" s="41"/>
      <c r="P429" s="41">
        <v>3500</v>
      </c>
      <c r="Q429" s="41"/>
      <c r="R429" s="41">
        <v>3500</v>
      </c>
      <c r="S429" s="41"/>
      <c r="T429" s="41">
        <v>3500</v>
      </c>
      <c r="U429" s="41"/>
    </row>
    <row r="430" spans="1:10" ht="12.75">
      <c r="A430" s="44"/>
      <c r="B430" s="78">
        <v>271</v>
      </c>
      <c r="C430" s="78">
        <v>4230</v>
      </c>
      <c r="D430" s="105" t="s">
        <v>163</v>
      </c>
      <c r="E430" s="6" t="s">
        <v>226</v>
      </c>
      <c r="F430" s="87"/>
      <c r="G430" s="37"/>
      <c r="H430" s="41"/>
      <c r="I430" s="41">
        <v>50000</v>
      </c>
      <c r="J430" s="41">
        <f t="shared" si="38"/>
        <v>50000</v>
      </c>
    </row>
    <row r="431" spans="1:21" ht="12.75">
      <c r="A431" s="44"/>
      <c r="B431" s="42">
        <v>271</v>
      </c>
      <c r="C431" s="78">
        <v>4230</v>
      </c>
      <c r="D431" s="112" t="s">
        <v>164</v>
      </c>
      <c r="E431" s="6" t="s">
        <v>185</v>
      </c>
      <c r="F431" s="46">
        <v>377446</v>
      </c>
      <c r="G431" s="37"/>
      <c r="H431" s="41">
        <f>F431+G431</f>
        <v>377446</v>
      </c>
      <c r="I431" s="41">
        <v>29104</v>
      </c>
      <c r="J431" s="41">
        <f t="shared" si="38"/>
        <v>406550</v>
      </c>
      <c r="K431" s="41">
        <v>424079</v>
      </c>
      <c r="N431" s="41">
        <v>436801</v>
      </c>
      <c r="O431" s="41"/>
      <c r="P431" s="41">
        <v>449905</v>
      </c>
      <c r="Q431" s="41"/>
      <c r="R431" s="41">
        <v>548230</v>
      </c>
      <c r="S431" s="41"/>
      <c r="T431" s="41">
        <v>586600</v>
      </c>
      <c r="U431" s="41"/>
    </row>
    <row r="432" spans="1:21" ht="12.75">
      <c r="A432" s="44"/>
      <c r="B432" s="90">
        <v>271</v>
      </c>
      <c r="C432" s="90">
        <v>4910</v>
      </c>
      <c r="D432" s="106" t="s">
        <v>164</v>
      </c>
      <c r="E432" s="91" t="s">
        <v>193</v>
      </c>
      <c r="F432" s="46">
        <v>30000</v>
      </c>
      <c r="G432" s="37"/>
      <c r="H432" s="41">
        <f>F432+G432</f>
        <v>30000</v>
      </c>
      <c r="I432" s="41">
        <v>3000</v>
      </c>
      <c r="J432" s="41">
        <f t="shared" si="38"/>
        <v>33000</v>
      </c>
      <c r="K432" s="41">
        <v>74000</v>
      </c>
      <c r="N432" s="41">
        <v>76220</v>
      </c>
      <c r="O432" s="41"/>
      <c r="P432" s="41">
        <v>76220</v>
      </c>
      <c r="Q432" s="41"/>
      <c r="R432" s="41">
        <v>102000</v>
      </c>
      <c r="S432" s="41"/>
      <c r="T432" s="41">
        <v>117000</v>
      </c>
      <c r="U432" s="41"/>
    </row>
    <row r="433" spans="1:21" ht="12.75">
      <c r="A433" s="22"/>
      <c r="B433" s="15"/>
      <c r="C433" s="15"/>
      <c r="D433" s="15"/>
      <c r="E433" s="37"/>
      <c r="F433" s="54">
        <f>SUM(F423:F432)</f>
        <v>435000.5</v>
      </c>
      <c r="G433" s="54">
        <f>SUM(G429:G432)</f>
        <v>0</v>
      </c>
      <c r="H433" s="54">
        <f>SUM(H423:H432)</f>
        <v>435000.5</v>
      </c>
      <c r="I433" s="54">
        <f>SUM(I429:I432)</f>
        <v>82104</v>
      </c>
      <c r="J433" s="54">
        <f>SUM(J423:J432)</f>
        <v>516804.5</v>
      </c>
      <c r="K433" s="54">
        <f>SUM(K423:K432)</f>
        <v>517647.37</v>
      </c>
      <c r="N433" s="54">
        <f>SUM(N423:N432)</f>
        <v>533068.696</v>
      </c>
      <c r="O433" s="125"/>
      <c r="P433" s="54">
        <f>SUM(P423:P432)</f>
        <v>546172.696</v>
      </c>
      <c r="Q433" s="125"/>
      <c r="R433" s="54">
        <f>SUM(R423:R432)</f>
        <v>670771.088</v>
      </c>
      <c r="S433" s="125"/>
      <c r="T433" s="54">
        <f>SUM(T423:T432)</f>
        <v>727258.33</v>
      </c>
      <c r="U433" s="125"/>
    </row>
    <row r="434" spans="1:10" ht="14.25">
      <c r="A434" s="148" t="s">
        <v>128</v>
      </c>
      <c r="B434" s="150"/>
      <c r="C434" s="150"/>
      <c r="D434" s="150"/>
      <c r="E434" s="150"/>
      <c r="F434" s="41"/>
      <c r="G434" s="37"/>
      <c r="I434" s="41"/>
      <c r="J434" s="41"/>
    </row>
    <row r="435" spans="1:21" ht="12.75">
      <c r="A435" s="83"/>
      <c r="B435" s="4">
        <v>283</v>
      </c>
      <c r="C435" s="4">
        <v>1340</v>
      </c>
      <c r="D435" s="105" t="s">
        <v>164</v>
      </c>
      <c r="E435" s="6" t="s">
        <v>1</v>
      </c>
      <c r="F435" s="41">
        <v>60000</v>
      </c>
      <c r="G435" s="37"/>
      <c r="H435" s="41">
        <f aca="true" t="shared" si="39" ref="H435:H442">F435+G435</f>
        <v>60000</v>
      </c>
      <c r="I435" s="41"/>
      <c r="J435" s="41">
        <f aca="true" t="shared" si="40" ref="J435:K442">SUM(H435:I435)</f>
        <v>60000</v>
      </c>
      <c r="K435" s="41">
        <v>65000</v>
      </c>
      <c r="N435" s="41">
        <v>66950</v>
      </c>
      <c r="O435" s="41"/>
      <c r="P435" s="41">
        <v>66950</v>
      </c>
      <c r="Q435" s="41"/>
      <c r="R435" s="41">
        <v>68959</v>
      </c>
      <c r="S435" s="41"/>
      <c r="T435" s="41">
        <v>72500</v>
      </c>
      <c r="U435" s="41"/>
    </row>
    <row r="436" spans="1:21" ht="12.75">
      <c r="A436" s="83"/>
      <c r="B436" s="4">
        <v>283</v>
      </c>
      <c r="C436" s="4">
        <v>1620</v>
      </c>
      <c r="D436" s="105" t="s">
        <v>164</v>
      </c>
      <c r="E436" s="6" t="s">
        <v>2</v>
      </c>
      <c r="F436" s="41">
        <v>29500</v>
      </c>
      <c r="G436" s="37"/>
      <c r="H436" s="41">
        <f t="shared" si="39"/>
        <v>29500</v>
      </c>
      <c r="I436" s="41"/>
      <c r="J436" s="41">
        <f t="shared" si="40"/>
        <v>29500</v>
      </c>
      <c r="K436" s="41"/>
      <c r="N436" s="41"/>
      <c r="O436" s="41"/>
      <c r="P436" s="41"/>
      <c r="Q436" s="41"/>
      <c r="R436" s="41"/>
      <c r="S436" s="41"/>
      <c r="T436" s="41"/>
      <c r="U436" s="41"/>
    </row>
    <row r="437" spans="1:21" ht="12.75">
      <c r="A437" s="75"/>
      <c r="B437" s="4">
        <v>283</v>
      </c>
      <c r="C437" s="4">
        <v>2110</v>
      </c>
      <c r="D437" s="105" t="s">
        <v>164</v>
      </c>
      <c r="E437" s="6" t="s">
        <v>64</v>
      </c>
      <c r="F437" s="41">
        <v>250</v>
      </c>
      <c r="G437" s="37"/>
      <c r="H437" s="41">
        <f t="shared" si="39"/>
        <v>250</v>
      </c>
      <c r="I437" s="41"/>
      <c r="J437" s="41">
        <f t="shared" si="40"/>
        <v>250</v>
      </c>
      <c r="K437" s="41">
        <f t="shared" si="40"/>
        <v>250</v>
      </c>
      <c r="N437" s="41">
        <f>SUM(K437:L437)</f>
        <v>250</v>
      </c>
      <c r="O437" s="41"/>
      <c r="P437" s="41">
        <f>SUM(M437:N437)</f>
        <v>250</v>
      </c>
      <c r="Q437" s="41"/>
      <c r="R437" s="41">
        <f>SUM(O437:P437)</f>
        <v>250</v>
      </c>
      <c r="S437" s="41"/>
      <c r="T437" s="41">
        <f>SUM(Q437:R437)</f>
        <v>250</v>
      </c>
      <c r="U437" s="41"/>
    </row>
    <row r="438" spans="1:21" ht="12.75">
      <c r="A438" s="75"/>
      <c r="B438" s="4">
        <v>283</v>
      </c>
      <c r="C438" s="4">
        <v>2130</v>
      </c>
      <c r="D438" s="105" t="s">
        <v>164</v>
      </c>
      <c r="E438" s="6" t="s">
        <v>15</v>
      </c>
      <c r="F438" s="41">
        <v>16400</v>
      </c>
      <c r="G438" s="37"/>
      <c r="H438" s="41">
        <f t="shared" si="39"/>
        <v>16400</v>
      </c>
      <c r="I438" s="41"/>
      <c r="J438" s="41">
        <f t="shared" si="40"/>
        <v>16400</v>
      </c>
      <c r="K438" s="41">
        <v>11166</v>
      </c>
      <c r="N438" s="41">
        <v>11724</v>
      </c>
      <c r="O438" s="41"/>
      <c r="P438" s="41">
        <v>12076</v>
      </c>
      <c r="Q438" s="41"/>
      <c r="R438" s="41">
        <v>12680</v>
      </c>
      <c r="S438" s="41"/>
      <c r="T438" s="41">
        <v>13314</v>
      </c>
      <c r="U438" s="41"/>
    </row>
    <row r="439" spans="1:21" ht="12.75">
      <c r="A439" s="75"/>
      <c r="B439" s="4">
        <v>283</v>
      </c>
      <c r="C439" s="4">
        <v>2820</v>
      </c>
      <c r="D439" s="105" t="s">
        <v>164</v>
      </c>
      <c r="E439" s="6" t="s">
        <v>16</v>
      </c>
      <c r="F439" s="41">
        <f>(F435+F436)*0.06</f>
        <v>5370</v>
      </c>
      <c r="G439" s="37"/>
      <c r="H439" s="41">
        <f t="shared" si="39"/>
        <v>5370</v>
      </c>
      <c r="I439" s="41">
        <f>-H439/2</f>
        <v>-2685</v>
      </c>
      <c r="J439" s="41">
        <f t="shared" si="40"/>
        <v>2685</v>
      </c>
      <c r="K439" s="41">
        <f>K435*0.01</f>
        <v>650</v>
      </c>
      <c r="N439" s="41">
        <f>N435*0.01</f>
        <v>669.5</v>
      </c>
      <c r="O439" s="41"/>
      <c r="P439" s="41">
        <f>P435*0.01</f>
        <v>669.5</v>
      </c>
      <c r="Q439" s="41"/>
      <c r="R439" s="41">
        <f>R435*0.01</f>
        <v>689.59</v>
      </c>
      <c r="S439" s="41"/>
      <c r="T439" s="41">
        <f>T435*0.01</f>
        <v>725</v>
      </c>
      <c r="U439" s="41"/>
    </row>
    <row r="440" spans="1:21" ht="12.75">
      <c r="A440" s="75"/>
      <c r="B440" s="4">
        <v>283</v>
      </c>
      <c r="C440" s="4">
        <v>2830</v>
      </c>
      <c r="D440" s="105" t="s">
        <v>164</v>
      </c>
      <c r="E440" s="6" t="s">
        <v>17</v>
      </c>
      <c r="F440" s="41">
        <f>(F435+F93)*0.0765</f>
        <v>4590</v>
      </c>
      <c r="G440" s="37"/>
      <c r="H440" s="41">
        <f t="shared" si="39"/>
        <v>4590</v>
      </c>
      <c r="I440" s="41"/>
      <c r="J440" s="41">
        <f t="shared" si="40"/>
        <v>4590</v>
      </c>
      <c r="K440" s="41">
        <f>K435*0.0765</f>
        <v>4972.5</v>
      </c>
      <c r="N440" s="41">
        <f>N435*0.0765</f>
        <v>5121.675</v>
      </c>
      <c r="O440" s="41"/>
      <c r="P440" s="41">
        <f>P435*0.0765</f>
        <v>5121.675</v>
      </c>
      <c r="Q440" s="41"/>
      <c r="R440" s="41">
        <f>R435*0.0765</f>
        <v>5275.3634999999995</v>
      </c>
      <c r="S440" s="41"/>
      <c r="T440" s="41">
        <f>T435*0.0765</f>
        <v>5546.25</v>
      </c>
      <c r="U440" s="41"/>
    </row>
    <row r="441" spans="1:21" ht="12.75">
      <c r="A441" s="75"/>
      <c r="B441" s="4">
        <v>283</v>
      </c>
      <c r="C441" s="4">
        <v>2840</v>
      </c>
      <c r="D441" s="105" t="s">
        <v>164</v>
      </c>
      <c r="E441" s="6" t="s">
        <v>18</v>
      </c>
      <c r="F441" s="41">
        <f>(F435+F436)*0.0055</f>
        <v>492.24999999999994</v>
      </c>
      <c r="G441" s="37"/>
      <c r="H441" s="41">
        <f t="shared" si="39"/>
        <v>492.24999999999994</v>
      </c>
      <c r="I441" s="41"/>
      <c r="J441" s="41">
        <f t="shared" si="40"/>
        <v>492.24999999999994</v>
      </c>
      <c r="K441" s="41">
        <f>K435*0.0055</f>
        <v>357.5</v>
      </c>
      <c r="N441" s="41">
        <f>N435*0.0055</f>
        <v>368.22499999999997</v>
      </c>
      <c r="O441" s="41"/>
      <c r="P441" s="41">
        <f>P435*0.0055</f>
        <v>368.22499999999997</v>
      </c>
      <c r="Q441" s="41"/>
      <c r="R441" s="41">
        <f>R435*0.0055</f>
        <v>379.2745</v>
      </c>
      <c r="S441" s="41"/>
      <c r="T441" s="41">
        <f>T435*0.0034</f>
        <v>246.5</v>
      </c>
      <c r="U441" s="41"/>
    </row>
    <row r="442" spans="1:21" ht="12.75">
      <c r="A442" s="75"/>
      <c r="B442" s="4">
        <v>283</v>
      </c>
      <c r="C442" s="4">
        <v>2850</v>
      </c>
      <c r="D442" s="105" t="s">
        <v>164</v>
      </c>
      <c r="E442" s="6" t="s">
        <v>19</v>
      </c>
      <c r="F442" s="41">
        <v>1990</v>
      </c>
      <c r="G442" s="37"/>
      <c r="H442" s="41">
        <f t="shared" si="39"/>
        <v>1990</v>
      </c>
      <c r="I442" s="41">
        <v>-1000</v>
      </c>
      <c r="J442" s="41">
        <f t="shared" si="40"/>
        <v>990</v>
      </c>
      <c r="K442" s="41">
        <f>9500*0.0573</f>
        <v>544.35</v>
      </c>
      <c r="N442" s="41">
        <f>9500*0.0573</f>
        <v>544.35</v>
      </c>
      <c r="O442" s="41"/>
      <c r="P442" s="41">
        <f>9500*0.0573</f>
        <v>544.35</v>
      </c>
      <c r="Q442" s="41"/>
      <c r="R442" s="41">
        <f>9500*0.0815</f>
        <v>774.25</v>
      </c>
      <c r="S442" s="41"/>
      <c r="T442" s="41">
        <f>9500*0.0815</f>
        <v>774.25</v>
      </c>
      <c r="U442" s="41"/>
    </row>
    <row r="443" spans="1:10" ht="12.75">
      <c r="A443" s="75"/>
      <c r="B443" s="4">
        <v>283</v>
      </c>
      <c r="C443" s="4">
        <v>3140</v>
      </c>
      <c r="D443" s="105" t="s">
        <v>164</v>
      </c>
      <c r="E443" s="6" t="s">
        <v>85</v>
      </c>
      <c r="F443" s="41"/>
      <c r="G443" s="37"/>
      <c r="H443" s="41"/>
      <c r="I443" s="41"/>
      <c r="J443" s="41"/>
    </row>
    <row r="444" spans="1:21" ht="12.75" hidden="1">
      <c r="A444" s="75"/>
      <c r="B444" s="4">
        <v>283</v>
      </c>
      <c r="C444" s="4">
        <v>3220</v>
      </c>
      <c r="D444" s="105" t="s">
        <v>169</v>
      </c>
      <c r="E444" s="6" t="s">
        <v>20</v>
      </c>
      <c r="F444" s="41"/>
      <c r="G444" s="37"/>
      <c r="H444" s="41"/>
      <c r="I444" s="41">
        <v>1300</v>
      </c>
      <c r="J444" s="41">
        <f>SUM(H444:I444)</f>
        <v>1300</v>
      </c>
      <c r="K444" s="41"/>
      <c r="N444" s="41"/>
      <c r="O444" s="41"/>
      <c r="P444" s="41"/>
      <c r="Q444" s="41"/>
      <c r="R444" s="41"/>
      <c r="S444" s="41"/>
      <c r="T444" s="41"/>
      <c r="U444" s="41"/>
    </row>
    <row r="445" spans="1:21" ht="12.75">
      <c r="A445" s="75"/>
      <c r="B445" s="4">
        <v>283</v>
      </c>
      <c r="C445" s="4">
        <v>5910</v>
      </c>
      <c r="D445" s="105" t="s">
        <v>164</v>
      </c>
      <c r="E445" s="6" t="s">
        <v>35</v>
      </c>
      <c r="F445" s="41">
        <v>500</v>
      </c>
      <c r="G445" s="37"/>
      <c r="H445" s="41">
        <f>F445+G445</f>
        <v>500</v>
      </c>
      <c r="I445" s="41"/>
      <c r="J445" s="41">
        <f>SUM(H445:I445)</f>
        <v>500</v>
      </c>
      <c r="K445" s="41">
        <f>SUM(I445:J445)</f>
        <v>500</v>
      </c>
      <c r="N445" s="41">
        <f>SUM(K445:L445)</f>
        <v>500</v>
      </c>
      <c r="O445" s="41"/>
      <c r="P445" s="41">
        <f>SUM(M445:N445)</f>
        <v>500</v>
      </c>
      <c r="Q445" s="41"/>
      <c r="R445" s="41">
        <f>SUM(O445:P445)</f>
        <v>500</v>
      </c>
      <c r="S445" s="41"/>
      <c r="T445" s="41">
        <f>SUM(Q445:R445)</f>
        <v>500</v>
      </c>
      <c r="U445" s="41"/>
    </row>
    <row r="446" spans="1:10" ht="12.75">
      <c r="A446" s="75"/>
      <c r="B446" s="4">
        <v>283</v>
      </c>
      <c r="C446" s="4">
        <v>6410</v>
      </c>
      <c r="D446" s="105" t="s">
        <v>164</v>
      </c>
      <c r="E446" s="6" t="s">
        <v>25</v>
      </c>
      <c r="F446" s="41"/>
      <c r="G446" s="37"/>
      <c r="H446" s="41"/>
      <c r="I446" s="41"/>
      <c r="J446" s="41"/>
    </row>
    <row r="447" spans="1:21" ht="12" customHeight="1">
      <c r="A447" s="75"/>
      <c r="B447" s="78">
        <v>283</v>
      </c>
      <c r="C447" s="4">
        <v>7910</v>
      </c>
      <c r="D447" s="105" t="s">
        <v>164</v>
      </c>
      <c r="E447" s="6" t="s">
        <v>0</v>
      </c>
      <c r="F447" s="41">
        <v>1300</v>
      </c>
      <c r="G447" s="37"/>
      <c r="H447" s="41">
        <f>F447+G447</f>
        <v>1300</v>
      </c>
      <c r="I447" s="41"/>
      <c r="J447" s="41">
        <f>SUM(H447:I447)</f>
        <v>1300</v>
      </c>
      <c r="K447" s="41">
        <f>SUM(I447:J447)</f>
        <v>1300</v>
      </c>
      <c r="N447" s="41">
        <f>SUM(K447:L447)</f>
        <v>1300</v>
      </c>
      <c r="O447" s="41"/>
      <c r="P447" s="41">
        <v>1339</v>
      </c>
      <c r="Q447" s="41"/>
      <c r="R447" s="41">
        <v>9200</v>
      </c>
      <c r="S447" s="41"/>
      <c r="T447" s="41">
        <v>9200</v>
      </c>
      <c r="U447" s="41"/>
    </row>
    <row r="448" spans="1:21" ht="12.75">
      <c r="A448" s="145" t="s">
        <v>144</v>
      </c>
      <c r="B448" s="146"/>
      <c r="C448" s="146"/>
      <c r="D448" s="146"/>
      <c r="E448" s="147"/>
      <c r="F448" s="54">
        <f aca="true" t="shared" si="41" ref="F448:K448">SUM(F435:F447)</f>
        <v>120392.25</v>
      </c>
      <c r="G448" s="54">
        <f t="shared" si="41"/>
        <v>0</v>
      </c>
      <c r="H448" s="54">
        <f t="shared" si="41"/>
        <v>120392.25</v>
      </c>
      <c r="I448" s="54">
        <f t="shared" si="41"/>
        <v>-2385</v>
      </c>
      <c r="J448" s="54">
        <f t="shared" si="41"/>
        <v>118007.25</v>
      </c>
      <c r="K448" s="54">
        <f t="shared" si="41"/>
        <v>84740.35</v>
      </c>
      <c r="N448" s="54">
        <f>SUM(N435:N447)</f>
        <v>87427.75000000001</v>
      </c>
      <c r="O448" s="125"/>
      <c r="P448" s="54">
        <f>SUM(P435:P447)</f>
        <v>87818.75000000001</v>
      </c>
      <c r="Q448" s="125"/>
      <c r="R448" s="54">
        <f>SUM(R435:R447)</f>
        <v>98707.478</v>
      </c>
      <c r="S448" s="125"/>
      <c r="T448" s="54">
        <f>SUM(T435:T447)</f>
        <v>103056</v>
      </c>
      <c r="U448" s="125"/>
    </row>
    <row r="449" spans="1:10" ht="14.25">
      <c r="A449" s="148" t="s">
        <v>129</v>
      </c>
      <c r="B449" s="149"/>
      <c r="C449" s="149"/>
      <c r="D449" s="149"/>
      <c r="E449" s="149"/>
      <c r="F449" s="41"/>
      <c r="G449" s="37"/>
      <c r="I449" s="41"/>
      <c r="J449" s="41"/>
    </row>
    <row r="450" spans="1:21" ht="12.75">
      <c r="A450" s="75"/>
      <c r="B450" s="4">
        <v>284</v>
      </c>
      <c r="C450" s="4">
        <v>3160</v>
      </c>
      <c r="D450" s="105" t="s">
        <v>164</v>
      </c>
      <c r="E450" s="6" t="s">
        <v>110</v>
      </c>
      <c r="F450" s="41">
        <v>15000</v>
      </c>
      <c r="G450" s="37"/>
      <c r="H450" s="41">
        <f>F450+G450</f>
        <v>15000</v>
      </c>
      <c r="I450" s="41"/>
      <c r="J450" s="41">
        <f>SUM(H450:I450)</f>
        <v>15000</v>
      </c>
      <c r="K450" s="41">
        <v>12000</v>
      </c>
      <c r="N450" s="41">
        <v>12000</v>
      </c>
      <c r="O450" s="41"/>
      <c r="P450" s="41">
        <v>12000</v>
      </c>
      <c r="Q450" s="41"/>
      <c r="R450" s="41">
        <v>12000</v>
      </c>
      <c r="S450" s="41"/>
      <c r="T450" s="41">
        <v>12000</v>
      </c>
      <c r="U450" s="41"/>
    </row>
    <row r="451" spans="1:21" ht="12.75">
      <c r="A451" s="75"/>
      <c r="B451" s="4">
        <v>284</v>
      </c>
      <c r="C451" s="4">
        <v>3190</v>
      </c>
      <c r="D451" s="105" t="s">
        <v>164</v>
      </c>
      <c r="E451" s="6" t="s">
        <v>156</v>
      </c>
      <c r="F451" s="41">
        <v>39496</v>
      </c>
      <c r="G451" s="37"/>
      <c r="H451" s="41">
        <f>F451+G451</f>
        <v>39496</v>
      </c>
      <c r="I451" s="41"/>
      <c r="J451" s="41">
        <f>SUM(H451:I451)</f>
        <v>39496</v>
      </c>
      <c r="K451" s="41">
        <v>24079</v>
      </c>
      <c r="N451" s="41">
        <v>22875</v>
      </c>
      <c r="O451" s="41"/>
      <c r="P451" s="41">
        <v>24019</v>
      </c>
      <c r="Q451" s="41"/>
      <c r="R451" s="41">
        <v>21000</v>
      </c>
      <c r="S451" s="41"/>
      <c r="T451" s="41">
        <v>21000</v>
      </c>
      <c r="U451" s="41"/>
    </row>
    <row r="452" spans="1:21" ht="12.75">
      <c r="A452" s="75"/>
      <c r="B452" s="45">
        <v>284</v>
      </c>
      <c r="C452" s="45">
        <v>3450</v>
      </c>
      <c r="D452" s="105" t="s">
        <v>164</v>
      </c>
      <c r="E452" s="37" t="s">
        <v>194</v>
      </c>
      <c r="F452" s="41">
        <v>10000</v>
      </c>
      <c r="G452" s="37"/>
      <c r="H452" s="41">
        <f>F452+G452</f>
        <v>10000</v>
      </c>
      <c r="I452" s="41"/>
      <c r="J452" s="41">
        <f>SUM(H452:I452)</f>
        <v>10000</v>
      </c>
      <c r="K452" s="41">
        <f>SUM(I452:J452)</f>
        <v>10000</v>
      </c>
      <c r="N452" s="41">
        <f>SUM(K452:L452)</f>
        <v>10000</v>
      </c>
      <c r="O452" s="41"/>
      <c r="P452" s="41">
        <f>SUM(M452:N452)</f>
        <v>10000</v>
      </c>
      <c r="Q452" s="41"/>
      <c r="R452" s="41">
        <f>SUM(O452:P452)</f>
        <v>10000</v>
      </c>
      <c r="S452" s="41"/>
      <c r="T452" s="41">
        <f>SUM(Q452:R452)</f>
        <v>10000</v>
      </c>
      <c r="U452" s="41"/>
    </row>
    <row r="453" spans="1:21" ht="12.75">
      <c r="A453" s="145" t="s">
        <v>143</v>
      </c>
      <c r="B453" s="146"/>
      <c r="C453" s="146"/>
      <c r="D453" s="146"/>
      <c r="E453" s="147"/>
      <c r="F453" s="54">
        <f aca="true" t="shared" si="42" ref="F453:K453">SUM(F450:F452)</f>
        <v>64496</v>
      </c>
      <c r="G453" s="54">
        <f t="shared" si="42"/>
        <v>0</v>
      </c>
      <c r="H453" s="54">
        <f t="shared" si="42"/>
        <v>64496</v>
      </c>
      <c r="I453" s="54">
        <f t="shared" si="42"/>
        <v>0</v>
      </c>
      <c r="J453" s="54">
        <f t="shared" si="42"/>
        <v>64496</v>
      </c>
      <c r="K453" s="54">
        <f t="shared" si="42"/>
        <v>46079</v>
      </c>
      <c r="N453" s="54">
        <f>SUM(N450:N452)</f>
        <v>44875</v>
      </c>
      <c r="O453" s="125"/>
      <c r="P453" s="54">
        <f>SUM(P450:P452)</f>
        <v>46019</v>
      </c>
      <c r="Q453" s="125"/>
      <c r="R453" s="54">
        <f>SUM(R450:R452)</f>
        <v>43000</v>
      </c>
      <c r="S453" s="125"/>
      <c r="T453" s="54">
        <f>SUM(T450:T452)</f>
        <v>43000</v>
      </c>
      <c r="U453" s="125"/>
    </row>
    <row r="454" spans="1:10" ht="14.25">
      <c r="A454" s="148" t="s">
        <v>130</v>
      </c>
      <c r="B454" s="149" t="s">
        <v>93</v>
      </c>
      <c r="C454" s="149"/>
      <c r="D454" s="149"/>
      <c r="E454" s="149"/>
      <c r="F454" s="41"/>
      <c r="G454" s="37"/>
      <c r="I454" s="41"/>
      <c r="J454" s="41"/>
    </row>
    <row r="455" spans="1:10" ht="12.75">
      <c r="A455" s="25"/>
      <c r="B455" s="84" t="s">
        <v>139</v>
      </c>
      <c r="C455" s="25"/>
      <c r="D455" s="31"/>
      <c r="E455" s="39" t="s">
        <v>94</v>
      </c>
      <c r="F455" s="41"/>
      <c r="G455" s="37"/>
      <c r="I455" s="41"/>
      <c r="J455" s="41"/>
    </row>
    <row r="456" spans="1:21" ht="12.75">
      <c r="A456" s="25"/>
      <c r="B456" s="4">
        <v>285</v>
      </c>
      <c r="C456" s="4">
        <v>1510</v>
      </c>
      <c r="D456" s="105" t="s">
        <v>164</v>
      </c>
      <c r="E456" s="6" t="s">
        <v>92</v>
      </c>
      <c r="F456" s="41">
        <v>50000</v>
      </c>
      <c r="G456" s="37"/>
      <c r="H456" s="41">
        <f aca="true" t="shared" si="43" ref="H456:H467">F456+G456</f>
        <v>50000</v>
      </c>
      <c r="I456" s="41"/>
      <c r="J456" s="41">
        <f aca="true" t="shared" si="44" ref="J456:J467">SUM(H456:I456)</f>
        <v>50000</v>
      </c>
      <c r="K456" s="41">
        <v>50000</v>
      </c>
      <c r="N456" s="41">
        <v>51500</v>
      </c>
      <c r="O456" s="41"/>
      <c r="P456" s="41">
        <v>51500</v>
      </c>
      <c r="Q456" s="41"/>
      <c r="R456" s="41">
        <v>55000</v>
      </c>
      <c r="S456" s="41"/>
      <c r="T456" s="41">
        <v>55000</v>
      </c>
      <c r="U456" s="41"/>
    </row>
    <row r="457" spans="1:21" ht="12.75">
      <c r="A457" s="25"/>
      <c r="B457" s="4">
        <v>285</v>
      </c>
      <c r="C457" s="4">
        <v>2110</v>
      </c>
      <c r="D457" s="105" t="s">
        <v>164</v>
      </c>
      <c r="E457" s="6" t="s">
        <v>64</v>
      </c>
      <c r="F457" s="41">
        <v>140</v>
      </c>
      <c r="G457" s="37"/>
      <c r="H457" s="41">
        <f t="shared" si="43"/>
        <v>140</v>
      </c>
      <c r="I457" s="41"/>
      <c r="J457" s="41">
        <f t="shared" si="44"/>
        <v>140</v>
      </c>
      <c r="K457" s="41">
        <v>140</v>
      </c>
      <c r="N457" s="41">
        <v>140</v>
      </c>
      <c r="O457" s="41"/>
      <c r="P457" s="41">
        <v>140</v>
      </c>
      <c r="Q457" s="41"/>
      <c r="R457" s="41">
        <v>140</v>
      </c>
      <c r="S457" s="41"/>
      <c r="T457" s="41">
        <v>140</v>
      </c>
      <c r="U457" s="41"/>
    </row>
    <row r="458" spans="1:21" ht="12.75">
      <c r="A458" s="25"/>
      <c r="B458" s="4">
        <v>285</v>
      </c>
      <c r="C458" s="4">
        <v>2130</v>
      </c>
      <c r="D458" s="105" t="s">
        <v>164</v>
      </c>
      <c r="E458" s="6" t="s">
        <v>15</v>
      </c>
      <c r="F458" s="41">
        <v>6500</v>
      </c>
      <c r="G458" s="37"/>
      <c r="H458" s="41">
        <f t="shared" si="43"/>
        <v>6500</v>
      </c>
      <c r="I458" s="41"/>
      <c r="J458" s="41">
        <f t="shared" si="44"/>
        <v>6500</v>
      </c>
      <c r="K458" s="41">
        <v>13046</v>
      </c>
      <c r="N458" s="41">
        <v>13698</v>
      </c>
      <c r="O458" s="41"/>
      <c r="P458" s="41">
        <v>14383</v>
      </c>
      <c r="Q458" s="41"/>
      <c r="R458" s="41">
        <v>15102</v>
      </c>
      <c r="S458" s="41"/>
      <c r="T458" s="41">
        <v>15857</v>
      </c>
      <c r="U458" s="41"/>
    </row>
    <row r="459" spans="1:21" ht="12.75">
      <c r="A459" s="25"/>
      <c r="B459" s="4">
        <v>285</v>
      </c>
      <c r="C459" s="4">
        <v>2820</v>
      </c>
      <c r="D459" s="105" t="s">
        <v>164</v>
      </c>
      <c r="E459" s="6" t="s">
        <v>16</v>
      </c>
      <c r="F459" s="41">
        <f>SUM(F456*0.06)</f>
        <v>3000</v>
      </c>
      <c r="G459" s="37"/>
      <c r="H459" s="41">
        <f t="shared" si="43"/>
        <v>3000</v>
      </c>
      <c r="I459" s="41">
        <f>-H459/2</f>
        <v>-1500</v>
      </c>
      <c r="J459" s="41">
        <f t="shared" si="44"/>
        <v>1500</v>
      </c>
      <c r="K459" s="41">
        <f>K456*0.03</f>
        <v>1500</v>
      </c>
      <c r="N459" s="41">
        <f>N456*0.03</f>
        <v>1545</v>
      </c>
      <c r="O459" s="41"/>
      <c r="P459" s="41">
        <f>P456*0.03</f>
        <v>1545</v>
      </c>
      <c r="Q459" s="41"/>
      <c r="R459" s="41">
        <f>R456*0.03</f>
        <v>1650</v>
      </c>
      <c r="S459" s="41"/>
      <c r="T459" s="41">
        <f>T456*0.03</f>
        <v>1650</v>
      </c>
      <c r="U459" s="41"/>
    </row>
    <row r="460" spans="1:21" ht="12.75">
      <c r="A460" s="25"/>
      <c r="B460" s="4">
        <v>285</v>
      </c>
      <c r="C460" s="4">
        <v>2830</v>
      </c>
      <c r="D460" s="105" t="s">
        <v>164</v>
      </c>
      <c r="E460" s="6" t="s">
        <v>17</v>
      </c>
      <c r="F460" s="41">
        <f>SUM(F456*0.0765)</f>
        <v>3825</v>
      </c>
      <c r="G460" s="37"/>
      <c r="H460" s="41">
        <f t="shared" si="43"/>
        <v>3825</v>
      </c>
      <c r="I460" s="41"/>
      <c r="J460" s="41">
        <f t="shared" si="44"/>
        <v>3825</v>
      </c>
      <c r="K460" s="41">
        <f>K456*0.0765</f>
        <v>3825</v>
      </c>
      <c r="N460" s="41">
        <f>N456*0.0765</f>
        <v>3939.75</v>
      </c>
      <c r="O460" s="41"/>
      <c r="P460" s="41">
        <f>P456*0.0765</f>
        <v>3939.75</v>
      </c>
      <c r="Q460" s="41"/>
      <c r="R460" s="41">
        <f>R456*0.0765</f>
        <v>4207.5</v>
      </c>
      <c r="S460" s="41"/>
      <c r="T460" s="41">
        <f>T456*0.0765</f>
        <v>4207.5</v>
      </c>
      <c r="U460" s="41"/>
    </row>
    <row r="461" spans="1:21" ht="12.75">
      <c r="A461" s="25"/>
      <c r="B461" s="4">
        <v>285</v>
      </c>
      <c r="C461" s="4">
        <v>2840</v>
      </c>
      <c r="D461" s="105" t="s">
        <v>164</v>
      </c>
      <c r="E461" s="6" t="s">
        <v>18</v>
      </c>
      <c r="F461" s="41">
        <f>SUM(F456*0.0055)</f>
        <v>275</v>
      </c>
      <c r="G461" s="37"/>
      <c r="H461" s="41">
        <f t="shared" si="43"/>
        <v>275</v>
      </c>
      <c r="I461" s="41"/>
      <c r="J461" s="41">
        <f t="shared" si="44"/>
        <v>275</v>
      </c>
      <c r="K461" s="41">
        <f>K456*0.0055</f>
        <v>275</v>
      </c>
      <c r="N461" s="41">
        <f>N456*0.0055</f>
        <v>283.25</v>
      </c>
      <c r="O461" s="41"/>
      <c r="P461" s="41">
        <f>P456*0.0055</f>
        <v>283.25</v>
      </c>
      <c r="Q461" s="41"/>
      <c r="R461" s="41">
        <f>R456*0.0055</f>
        <v>302.5</v>
      </c>
      <c r="S461" s="41"/>
      <c r="T461" s="41">
        <f>T456*0.0034</f>
        <v>187</v>
      </c>
      <c r="U461" s="41"/>
    </row>
    <row r="462" spans="1:10" ht="12.75" hidden="1">
      <c r="A462" s="25"/>
      <c r="B462" s="4">
        <v>285</v>
      </c>
      <c r="C462" s="4">
        <v>2850</v>
      </c>
      <c r="D462" s="105" t="s">
        <v>164</v>
      </c>
      <c r="E462" s="6" t="s">
        <v>19</v>
      </c>
      <c r="F462" s="41"/>
      <c r="G462" s="37"/>
      <c r="H462" s="41">
        <f t="shared" si="43"/>
        <v>0</v>
      </c>
      <c r="I462" s="41"/>
      <c r="J462" s="41">
        <f t="shared" si="44"/>
        <v>0</v>
      </c>
    </row>
    <row r="463" spans="1:10" ht="12.75" hidden="1">
      <c r="A463" s="25"/>
      <c r="B463" s="4">
        <v>285</v>
      </c>
      <c r="C463" s="4">
        <v>3220</v>
      </c>
      <c r="D463" s="105" t="s">
        <v>164</v>
      </c>
      <c r="E463" s="6" t="s">
        <v>20</v>
      </c>
      <c r="F463" s="41"/>
      <c r="G463" s="37"/>
      <c r="H463" s="41">
        <f t="shared" si="43"/>
        <v>0</v>
      </c>
      <c r="I463" s="41"/>
      <c r="J463" s="41">
        <f t="shared" si="44"/>
        <v>0</v>
      </c>
    </row>
    <row r="464" spans="1:10" ht="12.75" hidden="1">
      <c r="A464" s="25"/>
      <c r="B464" s="4">
        <v>285</v>
      </c>
      <c r="C464" s="4">
        <v>3610</v>
      </c>
      <c r="D464" s="105" t="s">
        <v>164</v>
      </c>
      <c r="E464" s="6" t="s">
        <v>21</v>
      </c>
      <c r="F464" s="41"/>
      <c r="G464" s="37"/>
      <c r="H464" s="41">
        <f t="shared" si="43"/>
        <v>0</v>
      </c>
      <c r="I464" s="41"/>
      <c r="J464" s="41">
        <f t="shared" si="44"/>
        <v>0</v>
      </c>
    </row>
    <row r="465" spans="1:10" ht="12.75" hidden="1">
      <c r="A465" s="25"/>
      <c r="B465" s="4">
        <v>285</v>
      </c>
      <c r="C465" s="4">
        <v>6410</v>
      </c>
      <c r="D465" s="105" t="s">
        <v>164</v>
      </c>
      <c r="E465" s="6" t="s">
        <v>25</v>
      </c>
      <c r="F465" s="41"/>
      <c r="G465" s="37"/>
      <c r="H465" s="41">
        <f t="shared" si="43"/>
        <v>0</v>
      </c>
      <c r="I465" s="41"/>
      <c r="J465" s="41">
        <f t="shared" si="44"/>
        <v>0</v>
      </c>
    </row>
    <row r="466" spans="1:21" ht="12.75">
      <c r="A466" s="25"/>
      <c r="B466" s="4">
        <v>285</v>
      </c>
      <c r="C466" s="4">
        <v>2850</v>
      </c>
      <c r="D466" s="105" t="s">
        <v>164</v>
      </c>
      <c r="E466" s="6" t="s">
        <v>19</v>
      </c>
      <c r="F466" s="41">
        <v>995</v>
      </c>
      <c r="G466" s="37"/>
      <c r="H466" s="41">
        <f t="shared" si="43"/>
        <v>995</v>
      </c>
      <c r="I466" s="41">
        <v>-500</v>
      </c>
      <c r="J466" s="41">
        <f t="shared" si="44"/>
        <v>495</v>
      </c>
      <c r="K466" s="41">
        <f>9500*0.0573</f>
        <v>544.35</v>
      </c>
      <c r="N466" s="41">
        <f>9500*0.0573</f>
        <v>544.35</v>
      </c>
      <c r="O466" s="41"/>
      <c r="P466" s="41">
        <f>9500*0.0573</f>
        <v>544.35</v>
      </c>
      <c r="Q466" s="41"/>
      <c r="R466" s="41">
        <f>9500*0.0815</f>
        <v>774.25</v>
      </c>
      <c r="S466" s="41"/>
      <c r="T466" s="41">
        <f>9500*0.0815</f>
        <v>774.25</v>
      </c>
      <c r="U466" s="41"/>
    </row>
    <row r="467" spans="1:10" ht="12.75">
      <c r="A467" s="25"/>
      <c r="B467" s="4">
        <v>285</v>
      </c>
      <c r="C467" s="4">
        <v>5990</v>
      </c>
      <c r="D467" s="105" t="s">
        <v>164</v>
      </c>
      <c r="E467" s="6" t="s">
        <v>67</v>
      </c>
      <c r="F467" s="41">
        <v>5416</v>
      </c>
      <c r="G467" s="37">
        <v>-5416</v>
      </c>
      <c r="H467" s="41">
        <f t="shared" si="43"/>
        <v>0</v>
      </c>
      <c r="I467" s="41"/>
      <c r="J467" s="41">
        <f t="shared" si="44"/>
        <v>0</v>
      </c>
    </row>
    <row r="468" spans="1:10" ht="12.75">
      <c r="A468" s="25"/>
      <c r="B468" s="4">
        <v>285</v>
      </c>
      <c r="C468" s="4">
        <v>7410</v>
      </c>
      <c r="D468" s="105" t="s">
        <v>164</v>
      </c>
      <c r="E468" s="6" t="s">
        <v>26</v>
      </c>
      <c r="F468" s="41"/>
      <c r="G468" s="37"/>
      <c r="I468" s="41"/>
      <c r="J468" s="41"/>
    </row>
    <row r="469" spans="1:21" ht="12.75">
      <c r="A469" s="145" t="s">
        <v>142</v>
      </c>
      <c r="B469" s="146"/>
      <c r="C469" s="146"/>
      <c r="D469" s="146"/>
      <c r="E469" s="147"/>
      <c r="F469" s="54">
        <f aca="true" t="shared" si="45" ref="F469:K469">SUM(F456:F468)</f>
        <v>70151</v>
      </c>
      <c r="G469" s="54">
        <f t="shared" si="45"/>
        <v>-5416</v>
      </c>
      <c r="H469" s="54">
        <f t="shared" si="45"/>
        <v>64735</v>
      </c>
      <c r="I469" s="54">
        <f t="shared" si="45"/>
        <v>-2000</v>
      </c>
      <c r="J469" s="54">
        <f t="shared" si="45"/>
        <v>62735</v>
      </c>
      <c r="K469" s="54">
        <f t="shared" si="45"/>
        <v>69330.35</v>
      </c>
      <c r="N469" s="54">
        <f>SUM(N456:N468)</f>
        <v>71650.35</v>
      </c>
      <c r="O469" s="125"/>
      <c r="P469" s="54">
        <f>SUM(P456:P468)</f>
        <v>72335.35</v>
      </c>
      <c r="Q469" s="125"/>
      <c r="R469" s="54">
        <f>SUM(R456:R468)</f>
        <v>77176.25</v>
      </c>
      <c r="S469" s="125"/>
      <c r="T469" s="54">
        <f>SUM(T456:T468)</f>
        <v>77815.75</v>
      </c>
      <c r="U469" s="125"/>
    </row>
    <row r="470" spans="1:10" ht="14.25">
      <c r="A470" s="160" t="s">
        <v>218</v>
      </c>
      <c r="B470" s="167"/>
      <c r="C470" s="167"/>
      <c r="D470" s="167"/>
      <c r="E470" s="167"/>
      <c r="F470" s="125"/>
      <c r="G470" s="125"/>
      <c r="H470" s="125"/>
      <c r="I470" s="125"/>
      <c r="J470" s="125"/>
    </row>
    <row r="471" spans="1:21" ht="12.75">
      <c r="A471" s="25"/>
      <c r="B471" s="4">
        <v>293</v>
      </c>
      <c r="C471" s="4">
        <v>3130</v>
      </c>
      <c r="D471" s="105" t="s">
        <v>164</v>
      </c>
      <c r="E471" s="6" t="s">
        <v>219</v>
      </c>
      <c r="G471" s="125"/>
      <c r="H471" s="125"/>
      <c r="I471" s="46">
        <v>6000</v>
      </c>
      <c r="J471" s="41">
        <f aca="true" t="shared" si="46" ref="J471:J476">SUM(H471:I471)</f>
        <v>6000</v>
      </c>
      <c r="K471" s="41">
        <v>3000</v>
      </c>
      <c r="N471" s="41">
        <v>3000</v>
      </c>
      <c r="O471" s="41"/>
      <c r="P471" s="41">
        <v>3000</v>
      </c>
      <c r="Q471" s="41"/>
      <c r="R471" s="41">
        <v>4000</v>
      </c>
      <c r="S471" s="41"/>
      <c r="T471" s="41">
        <v>4000</v>
      </c>
      <c r="U471" s="41"/>
    </row>
    <row r="472" spans="1:21" ht="12.75">
      <c r="A472" s="25"/>
      <c r="B472" s="4">
        <v>293</v>
      </c>
      <c r="C472" s="4">
        <v>4230</v>
      </c>
      <c r="D472" s="105" t="s">
        <v>164</v>
      </c>
      <c r="E472" s="6" t="s">
        <v>228</v>
      </c>
      <c r="G472" s="125"/>
      <c r="H472" s="125"/>
      <c r="I472" s="46">
        <v>3000</v>
      </c>
      <c r="J472" s="41">
        <f t="shared" si="46"/>
        <v>3000</v>
      </c>
      <c r="K472" s="41">
        <v>2000</v>
      </c>
      <c r="N472" s="41">
        <v>2000</v>
      </c>
      <c r="O472" s="41"/>
      <c r="P472" s="41">
        <v>2000</v>
      </c>
      <c r="Q472" s="41"/>
      <c r="R472" s="41">
        <v>2000</v>
      </c>
      <c r="S472" s="41"/>
      <c r="T472" s="41">
        <v>14000</v>
      </c>
      <c r="U472" s="41"/>
    </row>
    <row r="473" spans="1:21" ht="12.75">
      <c r="A473" s="25"/>
      <c r="B473" s="4">
        <v>293</v>
      </c>
      <c r="C473" s="4">
        <v>4910</v>
      </c>
      <c r="D473" s="105" t="s">
        <v>164</v>
      </c>
      <c r="E473" s="6" t="s">
        <v>220</v>
      </c>
      <c r="G473" s="125"/>
      <c r="H473" s="125"/>
      <c r="I473" s="46">
        <v>2000</v>
      </c>
      <c r="J473" s="41">
        <f t="shared" si="46"/>
        <v>2000</v>
      </c>
      <c r="K473" s="41">
        <v>1200</v>
      </c>
      <c r="N473" s="41">
        <v>1200</v>
      </c>
      <c r="O473" s="41"/>
      <c r="P473" s="41">
        <v>1200</v>
      </c>
      <c r="Q473" s="41"/>
      <c r="R473" s="41">
        <v>1200</v>
      </c>
      <c r="S473" s="41"/>
      <c r="T473" s="41">
        <v>3000</v>
      </c>
      <c r="U473" s="41"/>
    </row>
    <row r="474" spans="1:21" ht="12.75">
      <c r="A474" s="25"/>
      <c r="B474" s="4">
        <v>293</v>
      </c>
      <c r="C474" s="4">
        <v>5990</v>
      </c>
      <c r="D474" s="105" t="s">
        <v>164</v>
      </c>
      <c r="E474" s="6" t="s">
        <v>67</v>
      </c>
      <c r="G474" s="125"/>
      <c r="H474" s="125"/>
      <c r="I474" s="46">
        <v>221</v>
      </c>
      <c r="J474" s="41">
        <f t="shared" si="46"/>
        <v>221</v>
      </c>
      <c r="K474" s="41"/>
      <c r="N474" s="41"/>
      <c r="O474" s="41"/>
      <c r="P474" s="41"/>
      <c r="Q474" s="41"/>
      <c r="R474" s="41">
        <v>500</v>
      </c>
      <c r="S474" s="41"/>
      <c r="T474" s="41">
        <v>500</v>
      </c>
      <c r="U474" s="41"/>
    </row>
    <row r="475" spans="1:21" ht="12.75">
      <c r="A475" s="25"/>
      <c r="B475" s="4">
        <v>293</v>
      </c>
      <c r="C475" s="4">
        <v>7410</v>
      </c>
      <c r="D475" s="105" t="s">
        <v>164</v>
      </c>
      <c r="E475" s="6" t="s">
        <v>221</v>
      </c>
      <c r="G475" s="125"/>
      <c r="H475" s="125"/>
      <c r="I475" s="46">
        <v>2300</v>
      </c>
      <c r="J475" s="41">
        <f t="shared" si="46"/>
        <v>2300</v>
      </c>
      <c r="K475" s="41">
        <v>1500</v>
      </c>
      <c r="N475" s="41">
        <v>1500</v>
      </c>
      <c r="O475" s="41"/>
      <c r="P475" s="41">
        <v>1500</v>
      </c>
      <c r="Q475" s="41"/>
      <c r="R475" s="41">
        <v>1500</v>
      </c>
      <c r="S475" s="41"/>
      <c r="T475" s="41">
        <v>1500</v>
      </c>
      <c r="U475" s="41"/>
    </row>
    <row r="476" spans="1:21" ht="12.75">
      <c r="A476" s="25"/>
      <c r="B476" s="104">
        <v>293</v>
      </c>
      <c r="C476" s="4">
        <v>7910</v>
      </c>
      <c r="D476" s="105" t="s">
        <v>164</v>
      </c>
      <c r="E476" s="6" t="s">
        <v>222</v>
      </c>
      <c r="G476" s="125"/>
      <c r="H476" s="125"/>
      <c r="I476" s="46">
        <v>100</v>
      </c>
      <c r="J476" s="41">
        <f t="shared" si="46"/>
        <v>100</v>
      </c>
      <c r="K476" s="41">
        <v>124</v>
      </c>
      <c r="N476" s="41">
        <v>124</v>
      </c>
      <c r="O476" s="41"/>
      <c r="P476" s="41">
        <v>124</v>
      </c>
      <c r="Q476" s="41"/>
      <c r="R476" s="41">
        <v>800</v>
      </c>
      <c r="S476" s="41"/>
      <c r="T476" s="41">
        <v>900</v>
      </c>
      <c r="U476" s="41"/>
    </row>
    <row r="477" spans="1:21" ht="12.75">
      <c r="A477" s="145" t="s">
        <v>223</v>
      </c>
      <c r="B477" s="146"/>
      <c r="C477" s="146"/>
      <c r="D477" s="146"/>
      <c r="E477" s="147"/>
      <c r="F477" s="54">
        <f aca="true" t="shared" si="47" ref="F477:K477">SUM(F471:F476)</f>
        <v>0</v>
      </c>
      <c r="G477" s="54">
        <f t="shared" si="47"/>
        <v>0</v>
      </c>
      <c r="H477" s="54">
        <f t="shared" si="47"/>
        <v>0</v>
      </c>
      <c r="I477" s="54">
        <f t="shared" si="47"/>
        <v>13621</v>
      </c>
      <c r="J477" s="54">
        <f t="shared" si="47"/>
        <v>13621</v>
      </c>
      <c r="K477" s="54">
        <f t="shared" si="47"/>
        <v>7824</v>
      </c>
      <c r="N477" s="54">
        <f>SUM(N471:N476)</f>
        <v>7824</v>
      </c>
      <c r="O477" s="125"/>
      <c r="P477" s="54">
        <f>SUM(P471:P476)</f>
        <v>7824</v>
      </c>
      <c r="Q477" s="125"/>
      <c r="R477" s="54">
        <f>SUM(R471:R476)</f>
        <v>10000</v>
      </c>
      <c r="S477" s="125"/>
      <c r="T477" s="54">
        <f>SUM(T471:T476)</f>
        <v>23900</v>
      </c>
      <c r="U477" s="125"/>
    </row>
    <row r="478" spans="1:10" ht="14.25">
      <c r="A478" s="148" t="s">
        <v>140</v>
      </c>
      <c r="B478" s="149" t="s">
        <v>90</v>
      </c>
      <c r="C478" s="149"/>
      <c r="D478" s="149"/>
      <c r="E478" s="149"/>
      <c r="F478" s="41"/>
      <c r="G478" s="37"/>
      <c r="I478" s="41"/>
      <c r="J478" s="41"/>
    </row>
    <row r="479" spans="1:21" ht="12.75">
      <c r="A479" s="25"/>
      <c r="B479" s="4">
        <v>331</v>
      </c>
      <c r="C479" s="4">
        <v>1490</v>
      </c>
      <c r="D479" s="105" t="s">
        <v>163</v>
      </c>
      <c r="E479" s="6" t="s">
        <v>179</v>
      </c>
      <c r="F479" s="41"/>
      <c r="G479" s="37"/>
      <c r="I479" s="41">
        <v>30000</v>
      </c>
      <c r="J479" s="41">
        <f aca="true" t="shared" si="48" ref="J479:J485">SUM(H479:I479)</f>
        <v>30000</v>
      </c>
      <c r="K479" s="41">
        <v>22500</v>
      </c>
      <c r="N479" s="41">
        <v>23175</v>
      </c>
      <c r="O479" s="41"/>
      <c r="P479" s="41">
        <v>23175</v>
      </c>
      <c r="Q479" s="41"/>
      <c r="R479" s="41"/>
      <c r="S479" s="41"/>
      <c r="T479" s="41"/>
      <c r="U479" s="41"/>
    </row>
    <row r="480" spans="1:21" ht="12.75">
      <c r="A480" s="25"/>
      <c r="B480" s="4">
        <v>331</v>
      </c>
      <c r="C480" s="4">
        <v>2130</v>
      </c>
      <c r="D480" s="105" t="s">
        <v>163</v>
      </c>
      <c r="E480" s="6" t="s">
        <v>15</v>
      </c>
      <c r="F480" s="41"/>
      <c r="G480" s="37"/>
      <c r="I480" s="41">
        <v>1743</v>
      </c>
      <c r="J480" s="41">
        <f t="shared" si="48"/>
        <v>1743</v>
      </c>
      <c r="K480" s="41"/>
      <c r="N480" s="41"/>
      <c r="O480" s="41"/>
      <c r="P480" s="41"/>
      <c r="Q480" s="41"/>
      <c r="R480" s="41"/>
      <c r="S480" s="41"/>
      <c r="T480" s="41"/>
      <c r="U480" s="41"/>
    </row>
    <row r="481" spans="1:21" ht="12.75">
      <c r="A481" s="25"/>
      <c r="B481" s="4">
        <v>331</v>
      </c>
      <c r="C481" s="4">
        <v>2820</v>
      </c>
      <c r="D481" s="105" t="s">
        <v>163</v>
      </c>
      <c r="E481" s="6" t="s">
        <v>16</v>
      </c>
      <c r="F481" s="41"/>
      <c r="G481" s="37"/>
      <c r="I481" s="41">
        <f>I479*0.06</f>
        <v>1800</v>
      </c>
      <c r="J481" s="41">
        <f t="shared" si="48"/>
        <v>1800</v>
      </c>
      <c r="K481" s="41">
        <v>1800</v>
      </c>
      <c r="N481" s="41">
        <v>1800</v>
      </c>
      <c r="O481" s="41"/>
      <c r="P481" s="41">
        <v>1800</v>
      </c>
      <c r="Q481" s="41"/>
      <c r="R481" s="41"/>
      <c r="S481" s="41"/>
      <c r="T481" s="41"/>
      <c r="U481" s="41"/>
    </row>
    <row r="482" spans="1:21" ht="12.75">
      <c r="A482" s="25"/>
      <c r="B482" s="4">
        <v>331</v>
      </c>
      <c r="C482" s="4">
        <v>2830</v>
      </c>
      <c r="D482" s="105" t="s">
        <v>163</v>
      </c>
      <c r="E482" s="6" t="s">
        <v>17</v>
      </c>
      <c r="F482" s="41"/>
      <c r="G482" s="37"/>
      <c r="I482" s="41">
        <f>I479*0.0765</f>
        <v>2295</v>
      </c>
      <c r="J482" s="41">
        <f t="shared" si="48"/>
        <v>2295</v>
      </c>
      <c r="K482" s="41">
        <f>K479*0.0765</f>
        <v>1721.25</v>
      </c>
      <c r="N482" s="41">
        <f>N479*0.0765</f>
        <v>1772.8875</v>
      </c>
      <c r="O482" s="41"/>
      <c r="P482" s="41">
        <f>P479*0.0765</f>
        <v>1772.8875</v>
      </c>
      <c r="Q482" s="41"/>
      <c r="R482" s="41"/>
      <c r="S482" s="41"/>
      <c r="T482" s="41"/>
      <c r="U482" s="41"/>
    </row>
    <row r="483" spans="1:21" ht="12.75">
      <c r="A483" s="25"/>
      <c r="B483" s="4">
        <v>331</v>
      </c>
      <c r="C483" s="4">
        <v>2840</v>
      </c>
      <c r="D483" s="105" t="s">
        <v>163</v>
      </c>
      <c r="E483" s="6" t="s">
        <v>18</v>
      </c>
      <c r="F483" s="41"/>
      <c r="G483" s="37"/>
      <c r="I483" s="41">
        <f>I479*0.0055</f>
        <v>165</v>
      </c>
      <c r="J483" s="41">
        <f t="shared" si="48"/>
        <v>165</v>
      </c>
      <c r="K483" s="41">
        <f>K479*0.0055</f>
        <v>123.74999999999999</v>
      </c>
      <c r="N483" s="41">
        <f>N479*0.0055</f>
        <v>127.46249999999999</v>
      </c>
      <c r="O483" s="41"/>
      <c r="P483" s="41">
        <f>P479*0.0055</f>
        <v>127.46249999999999</v>
      </c>
      <c r="Q483" s="41"/>
      <c r="R483" s="41"/>
      <c r="S483" s="41"/>
      <c r="T483" s="41"/>
      <c r="U483" s="41"/>
    </row>
    <row r="484" spans="1:21" ht="12.75">
      <c r="A484" s="25"/>
      <c r="B484" s="4">
        <v>331</v>
      </c>
      <c r="C484" s="4">
        <v>2850</v>
      </c>
      <c r="D484" s="105" t="s">
        <v>163</v>
      </c>
      <c r="E484" s="6" t="s">
        <v>19</v>
      </c>
      <c r="F484" s="41"/>
      <c r="G484" s="37"/>
      <c r="I484" s="41">
        <v>597</v>
      </c>
      <c r="J484" s="41">
        <f t="shared" si="48"/>
        <v>597</v>
      </c>
      <c r="K484" s="41">
        <f>9500*0.0573*0.6</f>
        <v>326.61</v>
      </c>
      <c r="N484" s="41">
        <f>9500*0.0573*0.6</f>
        <v>326.61</v>
      </c>
      <c r="O484" s="41"/>
      <c r="P484" s="41">
        <f>9500*0.0573*0.6</f>
        <v>326.61</v>
      </c>
      <c r="Q484" s="41"/>
      <c r="R484" s="41"/>
      <c r="S484" s="41"/>
      <c r="T484" s="41"/>
      <c r="U484" s="41"/>
    </row>
    <row r="485" spans="1:21" ht="12.75">
      <c r="A485" s="25"/>
      <c r="B485" s="4">
        <v>331</v>
      </c>
      <c r="C485" s="4">
        <v>3220</v>
      </c>
      <c r="D485" s="105" t="s">
        <v>163</v>
      </c>
      <c r="E485" s="6" t="s">
        <v>91</v>
      </c>
      <c r="F485" s="41"/>
      <c r="G485" s="37"/>
      <c r="I485" s="41">
        <v>4000</v>
      </c>
      <c r="J485" s="41">
        <f t="shared" si="48"/>
        <v>4000</v>
      </c>
      <c r="K485" s="41">
        <v>4000</v>
      </c>
      <c r="N485" s="41">
        <v>4000</v>
      </c>
      <c r="O485" s="41"/>
      <c r="P485" s="41">
        <v>4000</v>
      </c>
      <c r="Q485" s="41"/>
      <c r="R485" s="41">
        <v>4000</v>
      </c>
      <c r="S485" s="41"/>
      <c r="T485" s="41">
        <v>4000</v>
      </c>
      <c r="U485" s="41"/>
    </row>
    <row r="486" spans="1:21" ht="12.75">
      <c r="A486" s="25"/>
      <c r="B486" s="4">
        <v>331</v>
      </c>
      <c r="C486" s="4">
        <v>7910</v>
      </c>
      <c r="D486" s="105" t="s">
        <v>163</v>
      </c>
      <c r="E486" s="6" t="s">
        <v>0</v>
      </c>
      <c r="F486" s="41"/>
      <c r="G486" s="37"/>
      <c r="I486" s="41"/>
      <c r="J486" s="41"/>
      <c r="K486" s="41"/>
      <c r="N486" s="41"/>
      <c r="O486" s="41"/>
      <c r="P486" s="41"/>
      <c r="Q486" s="41"/>
      <c r="R486" s="41"/>
      <c r="S486" s="41"/>
      <c r="T486" s="41"/>
      <c r="U486" s="41"/>
    </row>
    <row r="487" spans="1:21" ht="12.75">
      <c r="A487" s="25"/>
      <c r="B487" s="4">
        <v>331</v>
      </c>
      <c r="C487" s="4">
        <v>5990</v>
      </c>
      <c r="D487" s="105" t="s">
        <v>163</v>
      </c>
      <c r="E487" s="6" t="s">
        <v>138</v>
      </c>
      <c r="F487" s="41"/>
      <c r="G487" s="37"/>
      <c r="I487" s="41">
        <v>8000</v>
      </c>
      <c r="J487" s="41">
        <f>SUM(H487:I487)</f>
        <v>8000</v>
      </c>
      <c r="K487" s="41">
        <v>8000</v>
      </c>
      <c r="N487" s="41">
        <v>8000</v>
      </c>
      <c r="O487" s="41"/>
      <c r="P487" s="41">
        <v>8000</v>
      </c>
      <c r="Q487" s="41"/>
      <c r="R487" s="41">
        <v>8000</v>
      </c>
      <c r="S487" s="41"/>
      <c r="T487" s="41">
        <v>8000</v>
      </c>
      <c r="U487" s="41"/>
    </row>
    <row r="488" spans="1:21" ht="13.5" thickBot="1">
      <c r="A488" s="139" t="s">
        <v>141</v>
      </c>
      <c r="B488" s="140"/>
      <c r="C488" s="140"/>
      <c r="D488" s="140"/>
      <c r="E488" s="141"/>
      <c r="F488" s="96">
        <f aca="true" t="shared" si="49" ref="F488:K488">SUM(F478:F487)</f>
        <v>0</v>
      </c>
      <c r="G488" s="96">
        <f t="shared" si="49"/>
        <v>0</v>
      </c>
      <c r="H488" s="96">
        <f t="shared" si="49"/>
        <v>0</v>
      </c>
      <c r="I488" s="96">
        <f t="shared" si="49"/>
        <v>48600</v>
      </c>
      <c r="J488" s="96">
        <f t="shared" si="49"/>
        <v>48600</v>
      </c>
      <c r="K488" s="96">
        <f t="shared" si="49"/>
        <v>38471.61</v>
      </c>
      <c r="N488" s="96">
        <f>SUM(N478:N487)</f>
        <v>39201.96000000001</v>
      </c>
      <c r="O488" s="125"/>
      <c r="P488" s="96">
        <f>SUM(P478:P487)</f>
        <v>39201.96000000001</v>
      </c>
      <c r="Q488" s="125"/>
      <c r="R488" s="96">
        <f>SUM(R478:R487)</f>
        <v>12000</v>
      </c>
      <c r="S488" s="125"/>
      <c r="T488" s="96">
        <f>SUM(T478:T487)</f>
        <v>12000</v>
      </c>
      <c r="U488" s="125"/>
    </row>
    <row r="489" spans="1:10" ht="15.75">
      <c r="A489" s="66"/>
      <c r="B489" s="65" t="s">
        <v>45</v>
      </c>
      <c r="C489" s="67"/>
      <c r="D489" s="67"/>
      <c r="E489" s="68"/>
      <c r="F489" s="41"/>
      <c r="G489" s="37"/>
      <c r="I489" s="41"/>
      <c r="J489" s="41"/>
    </row>
    <row r="490" spans="1:20" ht="12.75">
      <c r="A490" s="69"/>
      <c r="B490" s="4">
        <v>625</v>
      </c>
      <c r="C490" s="4">
        <v>8110</v>
      </c>
      <c r="D490" s="105" t="s">
        <v>166</v>
      </c>
      <c r="E490" s="8" t="s">
        <v>82</v>
      </c>
      <c r="F490" s="41">
        <v>11000</v>
      </c>
      <c r="G490" s="37"/>
      <c r="H490" s="41">
        <f>F490+G490</f>
        <v>11000</v>
      </c>
      <c r="I490" s="41"/>
      <c r="J490" s="41">
        <f>SUM(H490:I490)</f>
        <v>11000</v>
      </c>
      <c r="K490">
        <v>0</v>
      </c>
      <c r="N490">
        <v>0</v>
      </c>
      <c r="P490">
        <v>0</v>
      </c>
      <c r="R490">
        <v>0</v>
      </c>
      <c r="T490">
        <v>0</v>
      </c>
    </row>
    <row r="491" spans="1:10" ht="12.75">
      <c r="A491" s="69"/>
      <c r="B491" s="4">
        <v>299</v>
      </c>
      <c r="C491" s="4">
        <v>7910</v>
      </c>
      <c r="D491" s="105" t="s">
        <v>164</v>
      </c>
      <c r="E491" s="8" t="s">
        <v>108</v>
      </c>
      <c r="F491" s="41"/>
      <c r="G491" s="37"/>
      <c r="I491" s="41"/>
      <c r="J491" s="41"/>
    </row>
    <row r="492" spans="1:10" ht="12.75">
      <c r="A492" s="69"/>
      <c r="B492" s="4">
        <v>511</v>
      </c>
      <c r="C492" s="4">
        <v>7310</v>
      </c>
      <c r="D492" s="105" t="s">
        <v>164</v>
      </c>
      <c r="E492" s="8" t="s">
        <v>188</v>
      </c>
      <c r="F492" s="41"/>
      <c r="G492" s="37"/>
      <c r="I492" s="41"/>
      <c r="J492" s="41"/>
    </row>
    <row r="493" spans="1:10" ht="12.75">
      <c r="A493" s="69"/>
      <c r="B493" s="4">
        <v>519</v>
      </c>
      <c r="C493" s="4">
        <v>7160</v>
      </c>
      <c r="D493" s="105" t="s">
        <v>164</v>
      </c>
      <c r="E493" s="8" t="s">
        <v>111</v>
      </c>
      <c r="F493" s="41"/>
      <c r="G493" s="37"/>
      <c r="I493" s="41"/>
      <c r="J493" s="41"/>
    </row>
    <row r="494" spans="1:21" ht="12.75">
      <c r="A494" s="70"/>
      <c r="B494" s="4">
        <v>631</v>
      </c>
      <c r="C494" s="4">
        <v>8110</v>
      </c>
      <c r="D494" s="105" t="s">
        <v>164</v>
      </c>
      <c r="E494" s="8" t="s">
        <v>106</v>
      </c>
      <c r="F494" s="41">
        <f>SUM(F18*0.2)</f>
        <v>1972295.5</v>
      </c>
      <c r="G494" s="41">
        <v>524985</v>
      </c>
      <c r="H494" s="41">
        <f>F494+G494</f>
        <v>2497280.5</v>
      </c>
      <c r="I494" s="41">
        <f>SUM(J494-H494)</f>
        <v>-708623.7</v>
      </c>
      <c r="J494" s="41">
        <f>SUM(J18*0.2)</f>
        <v>1788656.8</v>
      </c>
      <c r="K494" s="41">
        <v>1125000</v>
      </c>
      <c r="N494" s="41">
        <v>1125000</v>
      </c>
      <c r="O494" s="41"/>
      <c r="P494" s="41">
        <v>1183000</v>
      </c>
      <c r="Q494" s="41"/>
      <c r="R494" s="41">
        <v>1096000</v>
      </c>
      <c r="S494" s="41"/>
      <c r="T494" s="41">
        <v>1132279</v>
      </c>
      <c r="U494" s="41"/>
    </row>
    <row r="495" spans="1:21" ht="13.5" thickBot="1">
      <c r="A495" s="139" t="s">
        <v>27</v>
      </c>
      <c r="B495" s="140"/>
      <c r="C495" s="140"/>
      <c r="D495" s="140"/>
      <c r="E495" s="141" t="s">
        <v>5</v>
      </c>
      <c r="F495" s="88">
        <f aca="true" t="shared" si="50" ref="F495:K495">SUM(F490:F494)</f>
        <v>1983295.5</v>
      </c>
      <c r="G495" s="88">
        <f t="shared" si="50"/>
        <v>524985</v>
      </c>
      <c r="H495" s="88">
        <f t="shared" si="50"/>
        <v>2508280.5</v>
      </c>
      <c r="I495" s="118">
        <f t="shared" si="50"/>
        <v>-708623.7</v>
      </c>
      <c r="J495" s="118">
        <f t="shared" si="50"/>
        <v>1799656.8</v>
      </c>
      <c r="K495" s="118">
        <f t="shared" si="50"/>
        <v>1125000</v>
      </c>
      <c r="M495" s="132">
        <f>K495/K18</f>
        <v>0.16382833470026842</v>
      </c>
      <c r="N495" s="118">
        <f>SUM(N490:N494)</f>
        <v>1125000</v>
      </c>
      <c r="O495" s="132">
        <f>N495/N18</f>
        <v>0.15760430252741264</v>
      </c>
      <c r="P495" s="118">
        <f>SUM(P490:P494)</f>
        <v>1183000</v>
      </c>
      <c r="Q495" s="132">
        <f>P495/P18</f>
        <v>0.15612431613128433</v>
      </c>
      <c r="R495" s="118">
        <f>SUM(R490:R494)</f>
        <v>1096000</v>
      </c>
      <c r="S495" s="132">
        <f>R495/R18</f>
        <v>0.1376865913988342</v>
      </c>
      <c r="T495" s="118">
        <f>SUM(T490:T494)</f>
        <v>1132279</v>
      </c>
      <c r="U495" s="132">
        <f>T495/T18</f>
        <v>0.13997161946446357</v>
      </c>
    </row>
    <row r="496" spans="1:10" ht="15.75">
      <c r="A496" s="35"/>
      <c r="B496" s="13"/>
      <c r="C496" s="13"/>
      <c r="D496" s="13"/>
      <c r="E496" s="36"/>
      <c r="F496" s="41"/>
      <c r="G496" s="37"/>
      <c r="I496" s="56"/>
      <c r="J496" s="41"/>
    </row>
    <row r="497" spans="1:21" ht="15.75" thickBot="1">
      <c r="A497" s="142" t="s">
        <v>154</v>
      </c>
      <c r="B497" s="143"/>
      <c r="C497" s="143"/>
      <c r="D497" s="143"/>
      <c r="E497" s="144"/>
      <c r="F497" s="101">
        <f>SUM(F110+F163+F229+F301+F317+F344+F365+F383+F421+F433+F448+F453+F469+F488+F495)-2</f>
        <v>11927055.547</v>
      </c>
      <c r="G497" s="101">
        <f>SUM(G110+G163+G229+G301+G317+G344+G365+G383+G421+G433+G448+G453+G469+G488+G495)-1</f>
        <v>-0.05999999993946403</v>
      </c>
      <c r="H497" s="101">
        <f>SUM(H110+H163+H229+H301+H317+H344+H365+H383+H421+H433+H448+H453+H469+H488+H495)-2</f>
        <v>11927056.487</v>
      </c>
      <c r="I497" s="124">
        <f>SUM(I110+I163+I229+I301+I317+I344+I365+I383+I421+I433+I448+I453+I469+I477+I488+I495)-1</f>
        <v>-669671.5417999999</v>
      </c>
      <c r="J497" s="124">
        <f>SUM(J110+J163+J229+J301+J317+J344+J365+J383+J421+J433+J448+J453+J469+J477+J488+J495)-1</f>
        <v>11257082.9452</v>
      </c>
      <c r="K497" s="124">
        <f>SUM(K110+K163+K229+K301+K317+K344+K365+K383+K421+K433+K448+K453+K469+K477+K488+K495)</f>
        <v>8695970.9925</v>
      </c>
      <c r="N497" s="124">
        <f>SUM(N110+N163+N229+N301+N317+N344+N365+N383+N421+N433+N448+N453+N469+N477+N488+N495)</f>
        <v>8498355.623</v>
      </c>
      <c r="O497" s="136"/>
      <c r="P497" s="124">
        <f>SUM(P110+P163+P229+P301+P317+P344+P365+P383+P421+P433+P448+P453+P469+P477+P488+P495)</f>
        <v>8823523.562999997</v>
      </c>
      <c r="Q497" s="136"/>
      <c r="R497" s="124">
        <f>SUM(R110+R163+R229+R301+R317+R344+R365+R383+R421+R433+R448+R453+R469+R477+R488+R495)</f>
        <v>9809528.677000001</v>
      </c>
      <c r="S497" s="136"/>
      <c r="T497" s="124">
        <f>SUM(T110+T163+T229+T301+T317+T344+T365+T383+T421+T433+T448+T453+T469+T477+T488+T495)</f>
        <v>9972874.980400002</v>
      </c>
      <c r="U497" s="136"/>
    </row>
    <row r="498" spans="1:10" ht="16.5" thickTop="1">
      <c r="A498" s="99" t="s">
        <v>46</v>
      </c>
      <c r="B498" s="13"/>
      <c r="C498" s="13"/>
      <c r="D498" s="13"/>
      <c r="E498" s="14"/>
      <c r="F498" s="41"/>
      <c r="G498" s="37"/>
      <c r="I498" s="56"/>
      <c r="J498" s="41"/>
    </row>
    <row r="499" spans="1:21" ht="16.5" thickBot="1">
      <c r="A499" s="99" t="s">
        <v>47</v>
      </c>
      <c r="B499" s="13"/>
      <c r="C499" s="13"/>
      <c r="D499" s="13"/>
      <c r="E499" s="14" t="s">
        <v>72</v>
      </c>
      <c r="F499" s="111">
        <f>SUM(F29-F497)</f>
        <v>-0.04700000025331974</v>
      </c>
      <c r="G499" s="111">
        <f>SUM(G29-G497)</f>
        <v>0.05999999993946403</v>
      </c>
      <c r="H499" s="111">
        <f>SUM(H29-H497)+1</f>
        <v>0.013000000268220901</v>
      </c>
      <c r="I499" s="96">
        <f>SUM(I29-I497)</f>
        <v>-248521.9582000001</v>
      </c>
      <c r="J499" s="96">
        <f>SUM(J29-J497)</f>
        <v>-248220.94519999996</v>
      </c>
      <c r="K499" s="96">
        <f>SUM(K29-K497)</f>
        <v>0.007500000298023224</v>
      </c>
      <c r="N499" s="96">
        <f>SUM(N29-N497)</f>
        <v>0.027000000700354576</v>
      </c>
      <c r="O499" s="125"/>
      <c r="P499" s="96">
        <f>SUM(P29-P497)</f>
        <v>115997.08700000308</v>
      </c>
      <c r="Q499" s="125"/>
      <c r="R499" s="96">
        <f>SUM(R29-R497)</f>
        <v>153237.32299999893</v>
      </c>
      <c r="S499" s="125"/>
      <c r="T499" s="96">
        <f>SUM(T29-T497)</f>
        <v>148472.01959999837</v>
      </c>
      <c r="U499" s="125"/>
    </row>
    <row r="500" spans="1:10" ht="12.75">
      <c r="A500" s="18"/>
      <c r="B500" s="15"/>
      <c r="C500" s="15"/>
      <c r="D500" s="15"/>
      <c r="E500" s="16"/>
      <c r="F500" s="41"/>
      <c r="I500" s="56"/>
      <c r="J500" s="41"/>
    </row>
    <row r="501" spans="1:21" ht="15.75">
      <c r="A501" s="100"/>
      <c r="B501" s="100" t="s">
        <v>198</v>
      </c>
      <c r="C501" s="86"/>
      <c r="D501" s="86"/>
      <c r="F501" s="113">
        <v>900000</v>
      </c>
      <c r="I501" s="56"/>
      <c r="J501" s="41"/>
      <c r="K501" s="41" t="s">
        <v>5</v>
      </c>
      <c r="N501" s="41" t="e">
        <f>K503</f>
        <v>#VALUE!</v>
      </c>
      <c r="O501" s="41"/>
      <c r="P501" s="41">
        <v>700000</v>
      </c>
      <c r="Q501" s="41"/>
      <c r="R501" s="41">
        <f>P503</f>
        <v>815997.0870000031</v>
      </c>
      <c r="S501" s="41"/>
      <c r="T501" s="41">
        <v>1020000</v>
      </c>
      <c r="U501" s="41"/>
    </row>
    <row r="502" spans="1:10" ht="12.75">
      <c r="A502" s="18"/>
      <c r="B502" s="15"/>
      <c r="C502" s="15"/>
      <c r="D502" s="15"/>
      <c r="E502" s="16"/>
      <c r="F502" s="41"/>
      <c r="I502" s="56"/>
      <c r="J502" s="41"/>
    </row>
    <row r="503" spans="1:21" ht="16.5" thickBot="1">
      <c r="A503" s="100"/>
      <c r="B503" s="100" t="s">
        <v>199</v>
      </c>
      <c r="C503" s="86"/>
      <c r="D503" s="86"/>
      <c r="F503" s="114">
        <f>F499+F501</f>
        <v>899999.9529999997</v>
      </c>
      <c r="I503" s="56"/>
      <c r="J503" s="41"/>
      <c r="K503" s="41" t="e">
        <f>K501+K499</f>
        <v>#VALUE!</v>
      </c>
      <c r="N503" s="41" t="e">
        <f>N501+N499</f>
        <v>#VALUE!</v>
      </c>
      <c r="O503" s="41"/>
      <c r="P503" s="41">
        <f>P501+P499</f>
        <v>815997.0870000031</v>
      </c>
      <c r="Q503" s="41"/>
      <c r="R503" s="41">
        <f>R501+R499</f>
        <v>969234.410000002</v>
      </c>
      <c r="S503" s="41"/>
      <c r="T503" s="41">
        <f>T501+T499</f>
        <v>1168472.0195999984</v>
      </c>
      <c r="U503" s="41"/>
    </row>
    <row r="504" spans="1:10" ht="13.5" thickTop="1">
      <c r="A504" s="37"/>
      <c r="B504" s="37"/>
      <c r="C504" s="37"/>
      <c r="D504" s="37"/>
      <c r="E504" s="37"/>
      <c r="I504" s="56"/>
      <c r="J504" s="41"/>
    </row>
    <row r="505" spans="3:4" ht="12.75">
      <c r="C505" s="38"/>
      <c r="D505" s="38"/>
    </row>
    <row r="506" spans="1:2" ht="12.75">
      <c r="A506" s="126"/>
      <c r="B506" s="126"/>
    </row>
    <row r="507" ht="12.75">
      <c r="B507" s="126"/>
    </row>
    <row r="508" ht="12.75">
      <c r="B508" s="126"/>
    </row>
    <row r="509" ht="12.75">
      <c r="B509" s="126"/>
    </row>
    <row r="510" ht="12.75">
      <c r="B510" s="126"/>
    </row>
    <row r="511" ht="12.75">
      <c r="B511" s="126"/>
    </row>
    <row r="512" ht="12.75">
      <c r="B512" s="126"/>
    </row>
    <row r="513" ht="12.75">
      <c r="B513" s="126"/>
    </row>
  </sheetData>
  <sheetProtection selectLockedCells="1" selectUnlockedCells="1"/>
  <mergeCells count="54">
    <mergeCell ref="A470:E470"/>
    <mergeCell ref="A477:E477"/>
    <mergeCell ref="A288:E288"/>
    <mergeCell ref="A14:E14"/>
    <mergeCell ref="A31:E31"/>
    <mergeCell ref="A1:E1"/>
    <mergeCell ref="A2:E2"/>
    <mergeCell ref="A3:E3"/>
    <mergeCell ref="A4:E4"/>
    <mergeCell ref="C27:E27"/>
    <mergeCell ref="A29:E29"/>
    <mergeCell ref="A30:E30"/>
    <mergeCell ref="A53:E53"/>
    <mergeCell ref="A78:E78"/>
    <mergeCell ref="A99:E99"/>
    <mergeCell ref="A109:E109"/>
    <mergeCell ref="A110:E110"/>
    <mergeCell ref="A449:E449"/>
    <mergeCell ref="A385:E385"/>
    <mergeCell ref="A319:E319"/>
    <mergeCell ref="A383:E383"/>
    <mergeCell ref="A365:E365"/>
    <mergeCell ref="A345:E345"/>
    <mergeCell ref="A367:E367"/>
    <mergeCell ref="A263:E263"/>
    <mergeCell ref="A273:E273"/>
    <mergeCell ref="A302:E302"/>
    <mergeCell ref="A448:E448"/>
    <mergeCell ref="A421:E421"/>
    <mergeCell ref="A229:E229"/>
    <mergeCell ref="A317:E317"/>
    <mergeCell ref="A296:E296"/>
    <mergeCell ref="A409:E409"/>
    <mergeCell ref="A422:E422"/>
    <mergeCell ref="A210:E210"/>
    <mergeCell ref="A212:E212"/>
    <mergeCell ref="A232:E232"/>
    <mergeCell ref="A113:E113"/>
    <mergeCell ref="A143:E143"/>
    <mergeCell ref="A200:E200"/>
    <mergeCell ref="A190:E190"/>
    <mergeCell ref="A164:E164"/>
    <mergeCell ref="A173:E173"/>
    <mergeCell ref="A163:E163"/>
    <mergeCell ref="A495:E495"/>
    <mergeCell ref="A497:E497"/>
    <mergeCell ref="A344:E344"/>
    <mergeCell ref="A301:E301"/>
    <mergeCell ref="A478:E478"/>
    <mergeCell ref="A488:E488"/>
    <mergeCell ref="A469:E469"/>
    <mergeCell ref="A453:E453"/>
    <mergeCell ref="A454:E454"/>
    <mergeCell ref="A434:E434"/>
  </mergeCells>
  <printOptions horizontalCentered="1"/>
  <pageMargins left="0" right="0.58" top="0.47" bottom="0.74" header="0.42" footer="0.25"/>
  <pageSetup fitToHeight="4" fitToWidth="1" horizontalDpi="600" verticalDpi="600" orientation="landscape" scale="36" r:id="rId1"/>
  <headerFooter alignWithMargins="0">
    <oddFooter>&amp;Lswrightbarnes&amp;CPage &amp;P of Page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2014-12-31T22:29:39Z</cp:lastPrinted>
  <dcterms:created xsi:type="dcterms:W3CDTF">1999-12-01T21:59:09Z</dcterms:created>
  <dcterms:modified xsi:type="dcterms:W3CDTF">2016-11-21T21:58:34Z</dcterms:modified>
  <cp:category/>
  <cp:version/>
  <cp:contentType/>
  <cp:contentStatus/>
</cp:coreProperties>
</file>